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378\Documents\Statistiques du Secteur Réel\V data base anglais 2020 12\"/>
    </mc:Choice>
  </mc:AlternateContent>
  <bookViews>
    <workbookView xWindow="0" yWindow="0" windowWidth="10890" windowHeight="8715" firstSheet="1" activeTab="1"/>
  </bookViews>
  <sheets>
    <sheet name="Table_of_Contents" sheetId="6" r:id="rId1"/>
    <sheet name="Monthly_Data" sheetId="3" r:id="rId2"/>
    <sheet name="Quarterly_Data" sheetId="4" r:id="rId3"/>
    <sheet name="Annually_Data" sheetId="5" r:id="rId4"/>
  </sheets>
  <definedNames>
    <definedName name="Zone_impres_MI">#REF!</definedName>
  </definedNames>
  <calcPr calcId="152511"/>
</workbook>
</file>

<file path=xl/calcChain.xml><?xml version="1.0" encoding="utf-8"?>
<calcChain xmlns="http://schemas.openxmlformats.org/spreadsheetml/2006/main">
  <c r="C89" i="4" l="1"/>
  <c r="D89" i="4"/>
  <c r="E89" i="4"/>
  <c r="B89" i="4"/>
  <c r="E198" i="3"/>
  <c r="D198" i="3"/>
  <c r="B198" i="3"/>
  <c r="E197" i="3"/>
  <c r="D197" i="3"/>
  <c r="B197" i="3"/>
  <c r="E196" i="3"/>
  <c r="B196" i="3"/>
  <c r="E195" i="3"/>
  <c r="D195" i="3"/>
  <c r="B195" i="3"/>
  <c r="E194" i="3"/>
  <c r="D194" i="3"/>
  <c r="B194" i="3"/>
  <c r="E193" i="3"/>
  <c r="D193" i="3"/>
  <c r="B193" i="3"/>
  <c r="E192" i="3"/>
  <c r="B192" i="3"/>
  <c r="D191" i="3"/>
  <c r="C191" i="3"/>
  <c r="B191" i="3"/>
  <c r="E190" i="3"/>
  <c r="D190" i="3"/>
  <c r="C190" i="3"/>
  <c r="B190" i="3"/>
  <c r="E189" i="3"/>
  <c r="C189" i="3"/>
  <c r="B189" i="3"/>
  <c r="C188" i="3"/>
  <c r="B188" i="3"/>
  <c r="E187" i="3"/>
  <c r="D187" i="3"/>
  <c r="C187" i="3"/>
  <c r="B187" i="3"/>
  <c r="D186" i="3"/>
  <c r="B186" i="3"/>
  <c r="D185" i="3"/>
  <c r="B185" i="3"/>
  <c r="D184" i="3"/>
  <c r="B184" i="3"/>
  <c r="E183" i="3"/>
  <c r="D183" i="3"/>
  <c r="B183" i="3"/>
  <c r="D182" i="3"/>
  <c r="B182" i="3"/>
  <c r="D181" i="3"/>
  <c r="B181" i="3"/>
  <c r="D180" i="3"/>
  <c r="B180" i="3"/>
  <c r="B179" i="3"/>
  <c r="E178" i="3"/>
  <c r="B178" i="3"/>
  <c r="B177" i="3"/>
  <c r="B176" i="3"/>
  <c r="B175" i="3"/>
  <c r="D174" i="3"/>
  <c r="B174" i="3"/>
  <c r="D173" i="3"/>
  <c r="B173" i="3"/>
  <c r="E172" i="3"/>
  <c r="D172" i="3"/>
  <c r="B172" i="3"/>
  <c r="D171" i="3"/>
  <c r="B171" i="3"/>
  <c r="D170" i="3"/>
  <c r="B170" i="3"/>
  <c r="E169" i="3"/>
  <c r="D169" i="3"/>
  <c r="B169" i="3"/>
  <c r="E168" i="3"/>
  <c r="D168" i="3"/>
  <c r="B168" i="3"/>
  <c r="D166" i="3"/>
  <c r="D165" i="3"/>
  <c r="B165" i="3"/>
  <c r="E164" i="3"/>
  <c r="D164" i="3"/>
  <c r="C164" i="3"/>
  <c r="B164" i="3"/>
  <c r="E163" i="3"/>
  <c r="D163" i="3"/>
  <c r="B163" i="3"/>
  <c r="D162" i="3"/>
  <c r="C162" i="3"/>
  <c r="B162" i="3"/>
  <c r="E161" i="3"/>
  <c r="C161" i="3"/>
  <c r="B161" i="3"/>
  <c r="E160" i="3"/>
  <c r="D160" i="3"/>
  <c r="C160" i="3"/>
  <c r="B160" i="3"/>
  <c r="D159" i="3"/>
  <c r="C159" i="3"/>
  <c r="B159" i="3"/>
  <c r="E158" i="3"/>
  <c r="D158" i="3"/>
  <c r="C158" i="3"/>
  <c r="B158" i="3"/>
  <c r="E157" i="3"/>
  <c r="D157" i="3"/>
  <c r="C157" i="3"/>
  <c r="B157" i="3"/>
  <c r="D156" i="3"/>
  <c r="C156" i="3"/>
  <c r="B156" i="3"/>
  <c r="E155" i="3"/>
  <c r="D155" i="3"/>
  <c r="C155" i="3"/>
  <c r="B155" i="3"/>
  <c r="E154" i="3"/>
  <c r="D154" i="3"/>
  <c r="C154" i="3"/>
  <c r="B154" i="3"/>
  <c r="E153" i="3"/>
  <c r="D153" i="3"/>
  <c r="C153" i="3"/>
  <c r="B153" i="3"/>
  <c r="E152" i="3"/>
  <c r="D152" i="3"/>
  <c r="C152" i="3"/>
  <c r="B152" i="3"/>
  <c r="E151" i="3"/>
  <c r="D151" i="3"/>
  <c r="B151" i="3"/>
  <c r="E150" i="3"/>
  <c r="D150" i="3"/>
  <c r="C150" i="3"/>
  <c r="B150" i="3"/>
  <c r="E148" i="3"/>
  <c r="D148" i="3"/>
  <c r="C148" i="3"/>
  <c r="B148" i="3"/>
  <c r="D147" i="3"/>
  <c r="C147" i="3"/>
  <c r="B147" i="3"/>
  <c r="E146" i="3"/>
  <c r="C146" i="3"/>
  <c r="B146" i="3"/>
  <c r="D145" i="3"/>
  <c r="C145" i="3"/>
  <c r="B145" i="3"/>
  <c r="E144" i="3"/>
  <c r="D144" i="3"/>
  <c r="C144" i="3"/>
  <c r="B144" i="3"/>
  <c r="E142" i="3"/>
  <c r="D142" i="3"/>
  <c r="B142" i="3"/>
  <c r="E141" i="3"/>
  <c r="D141" i="3"/>
  <c r="C141" i="3"/>
  <c r="B141" i="3"/>
  <c r="E140" i="3"/>
  <c r="D140" i="3"/>
  <c r="B140" i="3"/>
  <c r="E139" i="3"/>
  <c r="D139" i="3"/>
  <c r="B139" i="3"/>
  <c r="E134" i="3"/>
  <c r="D134" i="3"/>
  <c r="B134" i="3"/>
  <c r="E133" i="3"/>
  <c r="B133" i="3"/>
  <c r="E132" i="3"/>
  <c r="D132" i="3"/>
  <c r="C132" i="3"/>
  <c r="B132" i="3"/>
  <c r="D131" i="3"/>
  <c r="B131" i="3"/>
  <c r="D130" i="3"/>
  <c r="B130" i="3"/>
  <c r="E129" i="3"/>
  <c r="D129" i="3"/>
  <c r="B129" i="3"/>
  <c r="E128" i="3"/>
  <c r="E127" i="3"/>
  <c r="E121" i="3"/>
  <c r="D121" i="3"/>
  <c r="B121" i="3"/>
  <c r="D120" i="3"/>
  <c r="C120" i="3"/>
  <c r="B120" i="3"/>
  <c r="E119" i="3"/>
  <c r="C119" i="3"/>
  <c r="B119" i="3"/>
  <c r="E118" i="3"/>
  <c r="C118" i="3"/>
  <c r="B118" i="3"/>
  <c r="E117" i="3"/>
  <c r="D116" i="3"/>
  <c r="B116" i="3"/>
  <c r="B115" i="3"/>
  <c r="E114" i="3"/>
  <c r="D114" i="3"/>
  <c r="C114" i="3"/>
  <c r="B114" i="3"/>
  <c r="E113" i="3"/>
  <c r="D113" i="3"/>
  <c r="C113" i="3"/>
  <c r="B113" i="3"/>
  <c r="E112" i="3"/>
  <c r="C112" i="3"/>
  <c r="B112" i="3"/>
  <c r="E111" i="3"/>
  <c r="C111" i="3"/>
  <c r="B111" i="3"/>
  <c r="B110" i="3"/>
  <c r="B109" i="3"/>
  <c r="B108" i="3"/>
  <c r="E107" i="3"/>
  <c r="B107" i="3"/>
  <c r="D54" i="3"/>
  <c r="B54" i="3"/>
  <c r="E53" i="3"/>
  <c r="D53" i="3"/>
  <c r="B53" i="3"/>
  <c r="D52" i="3"/>
  <c r="B52" i="3"/>
  <c r="D51" i="3"/>
  <c r="B51" i="3"/>
  <c r="D50" i="3"/>
  <c r="C50" i="3"/>
  <c r="B50" i="3"/>
  <c r="D49" i="3"/>
  <c r="B49" i="3"/>
  <c r="D48" i="3"/>
  <c r="B48" i="3"/>
  <c r="D47" i="3"/>
  <c r="B47" i="3"/>
  <c r="D46" i="3"/>
  <c r="B46" i="3"/>
  <c r="D45" i="3"/>
  <c r="B45" i="3"/>
  <c r="D44" i="3"/>
  <c r="B44" i="3"/>
  <c r="D43" i="3"/>
  <c r="B43" i="3"/>
  <c r="E42" i="3"/>
  <c r="D42" i="3"/>
  <c r="B42" i="3"/>
  <c r="D41" i="3"/>
  <c r="B41" i="3"/>
  <c r="D40" i="3"/>
  <c r="B40" i="3"/>
  <c r="D39" i="3"/>
  <c r="B39" i="3"/>
  <c r="D38" i="3"/>
  <c r="B38" i="3"/>
  <c r="E37" i="3"/>
  <c r="D37" i="3"/>
  <c r="B37" i="3"/>
  <c r="D36" i="3"/>
  <c r="B36" i="3"/>
  <c r="D35" i="3"/>
  <c r="B35" i="3"/>
  <c r="D34" i="3"/>
  <c r="B34" i="3"/>
  <c r="D33" i="3"/>
  <c r="B33" i="3"/>
  <c r="D32" i="3"/>
  <c r="B32" i="3"/>
  <c r="D31" i="3"/>
  <c r="B31" i="3"/>
  <c r="D30" i="3"/>
  <c r="B30" i="3"/>
  <c r="D29" i="3"/>
  <c r="B29" i="3"/>
  <c r="D28" i="3"/>
  <c r="B28" i="3"/>
  <c r="D27" i="3"/>
  <c r="B27" i="3"/>
  <c r="D26" i="3"/>
  <c r="B26" i="3"/>
  <c r="D25" i="3"/>
  <c r="B25" i="3"/>
  <c r="D24" i="3"/>
  <c r="B24" i="3"/>
  <c r="D23" i="3"/>
  <c r="B23" i="3"/>
  <c r="D22" i="3"/>
  <c r="B22" i="3"/>
  <c r="D21" i="3"/>
  <c r="B21" i="3"/>
  <c r="D20" i="3"/>
  <c r="B20" i="3"/>
  <c r="D19" i="3"/>
  <c r="B19" i="3"/>
  <c r="D18" i="3"/>
  <c r="B18" i="3"/>
  <c r="D17" i="3"/>
  <c r="B17" i="3"/>
  <c r="D16" i="3"/>
  <c r="B16" i="3"/>
  <c r="D15" i="3"/>
  <c r="B15" i="3"/>
</calcChain>
</file>

<file path=xl/sharedStrings.xml><?xml version="1.0" encoding="utf-8"?>
<sst xmlns="http://schemas.openxmlformats.org/spreadsheetml/2006/main" count="74" uniqueCount="36">
  <si>
    <t xml:space="preserve"> </t>
  </si>
  <si>
    <t xml:space="preserve">  J.P.1</t>
  </si>
  <si>
    <t>V.5</t>
  </si>
  <si>
    <t>Excel File Name:</t>
  </si>
  <si>
    <t>Available from Web Page:</t>
  </si>
  <si>
    <t>http://www.brb.bi/fr/content/autres</t>
  </si>
  <si>
    <t xml:space="preserve">  Gas oil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</si>
  <si>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</si>
  <si>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</si>
  <si>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</si>
  <si>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Consumption of main petroleum products</t>
  </si>
  <si>
    <t>Table of Contents</t>
  </si>
  <si>
    <t>Click here to see the data</t>
  </si>
  <si>
    <t>Name of sheets</t>
  </si>
  <si>
    <t>Description of the data</t>
  </si>
  <si>
    <t>Frequency</t>
  </si>
  <si>
    <t>Last date of publication</t>
  </si>
  <si>
    <t>Monthly</t>
  </si>
  <si>
    <t>Quarterly</t>
  </si>
  <si>
    <t>Annually</t>
  </si>
  <si>
    <t>Back to the table of contents</t>
  </si>
  <si>
    <t>Product</t>
  </si>
  <si>
    <t>Primium fuel</t>
  </si>
  <si>
    <t xml:space="preserve">  Petroleum Oil for lamps</t>
  </si>
  <si>
    <t>Period</t>
  </si>
  <si>
    <t>Main petroleum Products</t>
  </si>
  <si>
    <t>Petroleum Oil for lamps</t>
  </si>
  <si>
    <t>Consumption of main petroleum products.xls</t>
  </si>
  <si>
    <t>Date of Publication</t>
  </si>
  <si>
    <t>Last date of Publication</t>
  </si>
  <si>
    <t xml:space="preserve">  (1) : Quantity received by  S.E.P.</t>
  </si>
  <si>
    <t xml:space="preserve">  (2) : y compris les données de la S.E.P. Gitega </t>
  </si>
  <si>
    <r>
      <t xml:space="preserve">  </t>
    </r>
    <r>
      <rPr>
        <sz val="10"/>
        <rFont val="Calibri"/>
        <family val="2"/>
      </rPr>
      <t>( * )</t>
    </r>
    <r>
      <rPr>
        <sz val="12"/>
        <rFont val="Calibri"/>
        <family val="2"/>
      </rPr>
      <t xml:space="preserve"> : Non compris les données de la S.E.P. Gitega à partir de l'année 2003 </t>
    </r>
  </si>
  <si>
    <t>Source : S.E.P.</t>
  </si>
  <si>
    <t xml:space="preserve">                              CONSUMPTION OF MAIN PETROLEUM PRODUCTS (1) (in thousands of  liter)</t>
  </si>
  <si>
    <t xml:space="preserve">                               CONSUMPTION OF MAIN PETROLEUM PRODUCTS (1) (in thousands of  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</si>
</sst>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_)"/>
    <numFmt numFmtId="165" formatCode="[$-40C]mmm\-yy;@"/>
    <numFmt numFmtId="166" formatCode="[$-40C]mmmm\-yy;@"/>
    <numFmt numFmtId="167" formatCode="[$-409]dd\-mmm\-yy;@"/>
    <numFmt numFmtId="168" formatCode="General_)"/>
    <numFmt numFmtId="169" formatCode="[$-409]mmm\-yy;@"/>
  </numFmts>
  <fonts count="17" x14ac:knownFonts="1">
    <font>
      <sz val="12"/>
      <name val="Helv"/>
    </font>
    <font>
      <u/>
      <sz val="12"/>
      <color indexed="12"/>
      <name val="Helv"/>
    </font>
    <font>
      <b/>
      <sz val="12"/>
      <name val="Times New Roman"/>
      <family val="1"/>
    </font>
    <font>
      <b/>
      <u/>
      <sz val="12"/>
      <name val="Times New Roman"/>
      <family val="1"/>
    </font>
    <font>
      <u/>
      <sz val="12"/>
      <color indexed="12"/>
      <name val="Garamond"/>
      <family val="1"/>
    </font>
    <font>
      <sz val="12"/>
      <name val="Garamond"/>
      <family val="1"/>
    </font>
    <font>
      <b/>
      <sz val="12"/>
      <name val="Garamond"/>
      <family val="1"/>
    </font>
    <font>
      <sz val="12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2"/>
      <color theme="1"/>
      <name val="Garamond"/>
      <family val="1"/>
    </font>
    <font>
      <b/>
      <sz val="14"/>
      <color rgb="FF002060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sz val="12"/>
      <color rgb="FF0070C0"/>
      <name val="Garamond"/>
      <family val="1"/>
    </font>
    <font>
      <b/>
      <sz val="12"/>
      <name val="Calibri"/>
      <family val="2"/>
      <scheme val="minor"/>
    </font>
    <font>
      <b/>
      <i/>
      <sz val="2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37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4">
    <xf numFmtId="37" fontId="0" fillId="0" borderId="0" xfId="0"/>
    <xf numFmtId="37" fontId="0" fillId="0" borderId="0" xfId="0" applyBorder="1" applyAlignment="1">
      <alignment horizontal="left"/>
    </xf>
    <xf numFmtId="37" fontId="0" fillId="0" borderId="1" xfId="0" applyBorder="1"/>
    <xf numFmtId="37" fontId="0" fillId="0" borderId="0" xfId="0" applyBorder="1"/>
    <xf numFmtId="3" fontId="9" fillId="0" borderId="2" xfId="0" applyNumberFormat="1" applyFont="1" applyFill="1" applyBorder="1" applyAlignment="1">
      <alignment horizontal="center"/>
    </xf>
    <xf numFmtId="37" fontId="10" fillId="0" borderId="0" xfId="0" applyFont="1"/>
    <xf numFmtId="37" fontId="11" fillId="0" borderId="0" xfId="0" applyFont="1"/>
    <xf numFmtId="37" fontId="12" fillId="0" borderId="0" xfId="0" applyFont="1"/>
    <xf numFmtId="37" fontId="13" fillId="2" borderId="3" xfId="0" applyFont="1" applyFill="1" applyBorder="1"/>
    <xf numFmtId="0" fontId="1" fillId="3" borderId="0" xfId="1" applyFill="1" applyAlignment="1" applyProtection="1"/>
    <xf numFmtId="37" fontId="10" fillId="3" borderId="0" xfId="0" applyFont="1" applyFill="1"/>
    <xf numFmtId="37" fontId="14" fillId="3" borderId="4" xfId="0" applyFont="1" applyFill="1" applyBorder="1"/>
    <xf numFmtId="37" fontId="10" fillId="3" borderId="4" xfId="0" applyFont="1" applyFill="1" applyBorder="1"/>
    <xf numFmtId="167" fontId="10" fillId="0" borderId="0" xfId="0" applyNumberFormat="1" applyFont="1" applyAlignment="1">
      <alignment horizontal="left"/>
    </xf>
    <xf numFmtId="168" fontId="1" fillId="0" borderId="0" xfId="1" applyNumberFormat="1" applyAlignment="1" applyProtection="1"/>
    <xf numFmtId="37" fontId="2" fillId="0" borderId="0" xfId="0" applyFont="1" applyAlignment="1">
      <alignment horizontal="justify" vertical="center"/>
    </xf>
    <xf numFmtId="37" fontId="6" fillId="4" borderId="5" xfId="0" applyFont="1" applyFill="1" applyBorder="1" applyAlignment="1">
      <alignment horizontal="left"/>
    </xf>
    <xf numFmtId="37" fontId="6" fillId="4" borderId="6" xfId="0" applyFont="1" applyFill="1" applyBorder="1" applyAlignment="1">
      <alignment horizontal="left"/>
    </xf>
    <xf numFmtId="37" fontId="6" fillId="4" borderId="7" xfId="0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center"/>
    </xf>
    <xf numFmtId="37" fontId="5" fillId="0" borderId="0" xfId="0" applyFont="1"/>
    <xf numFmtId="37" fontId="5" fillId="4" borderId="8" xfId="0" applyFont="1" applyFill="1" applyBorder="1" applyAlignment="1"/>
    <xf numFmtId="37" fontId="5" fillId="4" borderId="9" xfId="0" applyFont="1" applyFill="1" applyBorder="1" applyAlignment="1"/>
    <xf numFmtId="37" fontId="6" fillId="4" borderId="10" xfId="0" applyFont="1" applyFill="1" applyBorder="1" applyAlignment="1">
      <alignment horizontal="right"/>
    </xf>
    <xf numFmtId="3" fontId="5" fillId="5" borderId="11" xfId="0" applyNumberFormat="1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3" fontId="5" fillId="0" borderId="12" xfId="0" applyNumberFormat="1" applyFont="1" applyFill="1" applyBorder="1" applyAlignment="1">
      <alignment horizontal="center"/>
    </xf>
    <xf numFmtId="3" fontId="9" fillId="5" borderId="11" xfId="0" applyNumberFormat="1" applyFont="1" applyFill="1" applyBorder="1" applyAlignment="1">
      <alignment horizontal="center"/>
    </xf>
    <xf numFmtId="3" fontId="9" fillId="5" borderId="2" xfId="0" applyNumberFormat="1" applyFont="1" applyFill="1" applyBorder="1" applyAlignment="1">
      <alignment horizontal="center"/>
    </xf>
    <xf numFmtId="37" fontId="6" fillId="4" borderId="5" xfId="0" applyFont="1" applyFill="1" applyBorder="1" applyAlignment="1"/>
    <xf numFmtId="37" fontId="6" fillId="4" borderId="6" xfId="0" applyFont="1" applyFill="1" applyBorder="1" applyAlignment="1"/>
    <xf numFmtId="37" fontId="10" fillId="3" borderId="13" xfId="0" applyFont="1" applyFill="1" applyBorder="1"/>
    <xf numFmtId="37" fontId="1" fillId="0" borderId="8" xfId="1" applyNumberFormat="1" applyFill="1" applyBorder="1" applyAlignment="1" applyProtection="1"/>
    <xf numFmtId="37" fontId="9" fillId="0" borderId="9" xfId="0" applyFont="1" applyFill="1" applyBorder="1" applyAlignment="1"/>
    <xf numFmtId="37" fontId="9" fillId="0" borderId="10" xfId="0" applyFont="1" applyFill="1" applyBorder="1" applyAlignment="1"/>
    <xf numFmtId="37" fontId="9" fillId="0" borderId="1" xfId="0" applyFont="1" applyFill="1" applyBorder="1" applyAlignment="1"/>
    <xf numFmtId="37" fontId="9" fillId="0" borderId="0" xfId="0" applyFont="1" applyFill="1" applyBorder="1" applyAlignment="1"/>
    <xf numFmtId="37" fontId="15" fillId="0" borderId="14" xfId="0" applyFont="1" applyFill="1" applyBorder="1" applyAlignment="1">
      <alignment horizontal="right"/>
    </xf>
    <xf numFmtId="166" fontId="9" fillId="0" borderId="2" xfId="0" applyNumberFormat="1" applyFont="1" applyFill="1" applyBorder="1" applyAlignment="1"/>
    <xf numFmtId="37" fontId="5" fillId="0" borderId="9" xfId="0" applyFont="1" applyFill="1" applyBorder="1" applyAlignment="1"/>
    <xf numFmtId="37" fontId="5" fillId="0" borderId="10" xfId="0" applyFont="1" applyFill="1" applyBorder="1" applyAlignment="1"/>
    <xf numFmtId="37" fontId="4" fillId="0" borderId="1" xfId="1" applyNumberFormat="1" applyFont="1" applyFill="1" applyBorder="1" applyAlignment="1" applyProtection="1"/>
    <xf numFmtId="37" fontId="5" fillId="0" borderId="0" xfId="0" applyFont="1" applyFill="1" applyBorder="1" applyAlignment="1"/>
    <xf numFmtId="37" fontId="5" fillId="0" borderId="14" xfId="0" applyFont="1" applyFill="1" applyBorder="1" applyAlignment="1"/>
    <xf numFmtId="3" fontId="5" fillId="0" borderId="14" xfId="0" applyNumberFormat="1" applyFont="1" applyFill="1" applyBorder="1" applyAlignment="1">
      <alignment horizontal="center"/>
    </xf>
    <xf numFmtId="37" fontId="5" fillId="0" borderId="2" xfId="0" applyFont="1" applyFill="1" applyBorder="1" applyAlignment="1"/>
    <xf numFmtId="37" fontId="5" fillId="0" borderId="14" xfId="0" applyNumberFormat="1" applyFont="1" applyFill="1" applyBorder="1" applyAlignment="1" applyProtection="1"/>
    <xf numFmtId="37" fontId="5" fillId="0" borderId="1" xfId="0" applyFont="1" applyFill="1" applyBorder="1" applyAlignment="1"/>
    <xf numFmtId="37" fontId="5" fillId="0" borderId="5" xfId="0" applyFont="1" applyFill="1" applyBorder="1" applyAlignment="1"/>
    <xf numFmtId="164" fontId="5" fillId="0" borderId="6" xfId="0" applyNumberFormat="1" applyFont="1" applyFill="1" applyBorder="1" applyAlignment="1" applyProtection="1"/>
    <xf numFmtId="37" fontId="5" fillId="0" borderId="6" xfId="0" applyFont="1" applyFill="1" applyBorder="1" applyAlignment="1"/>
    <xf numFmtId="37" fontId="5" fillId="0" borderId="7" xfId="0" applyNumberFormat="1" applyFont="1" applyFill="1" applyBorder="1" applyAlignment="1" applyProtection="1"/>
    <xf numFmtId="37" fontId="6" fillId="0" borderId="14" xfId="0" applyFont="1" applyFill="1" applyBorder="1" applyAlignment="1">
      <alignment horizontal="right"/>
    </xf>
    <xf numFmtId="1" fontId="5" fillId="0" borderId="14" xfId="0" applyNumberFormat="1" applyFont="1" applyFill="1" applyBorder="1" applyAlignment="1">
      <alignment horizontal="center"/>
    </xf>
    <xf numFmtId="1" fontId="5" fillId="0" borderId="14" xfId="0" applyNumberFormat="1" applyFont="1" applyFill="1" applyBorder="1" applyAlignment="1"/>
    <xf numFmtId="37" fontId="5" fillId="0" borderId="7" xfId="0" applyFont="1" applyFill="1" applyBorder="1"/>
    <xf numFmtId="37" fontId="5" fillId="0" borderId="14" xfId="0" applyFont="1" applyFill="1" applyBorder="1"/>
    <xf numFmtId="37" fontId="5" fillId="0" borderId="10" xfId="0" applyNumberFormat="1" applyFont="1" applyFill="1" applyBorder="1" applyAlignment="1" applyProtection="1"/>
    <xf numFmtId="165" fontId="10" fillId="3" borderId="0" xfId="0" applyNumberFormat="1" applyFont="1" applyFill="1" applyAlignment="1">
      <alignment horizontal="right"/>
    </xf>
    <xf numFmtId="49" fontId="10" fillId="3" borderId="0" xfId="0" applyNumberFormat="1" applyFont="1" applyFill="1" applyAlignment="1">
      <alignment horizontal="right"/>
    </xf>
    <xf numFmtId="49" fontId="10" fillId="3" borderId="0" xfId="0" quotePrefix="1" applyNumberFormat="1" applyFont="1" applyFill="1" applyAlignment="1">
      <alignment horizontal="right"/>
    </xf>
    <xf numFmtId="37" fontId="15" fillId="6" borderId="10" xfId="0" applyFont="1" applyFill="1" applyBorder="1" applyAlignment="1">
      <alignment horizontal="right"/>
    </xf>
    <xf numFmtId="37" fontId="15" fillId="6" borderId="7" xfId="0" applyFont="1" applyFill="1" applyBorder="1" applyAlignment="1">
      <alignment horizontal="left"/>
    </xf>
    <xf numFmtId="37" fontId="15" fillId="7" borderId="11" xfId="0" applyFont="1" applyFill="1" applyBorder="1" applyAlignment="1">
      <alignment horizontal="center"/>
    </xf>
    <xf numFmtId="37" fontId="15" fillId="7" borderId="2" xfId="0" applyFont="1" applyFill="1" applyBorder="1" applyAlignment="1">
      <alignment horizontal="center"/>
    </xf>
    <xf numFmtId="37" fontId="15" fillId="7" borderId="12" xfId="0" applyFont="1" applyFill="1" applyBorder="1" applyAlignment="1">
      <alignment horizontal="center"/>
    </xf>
    <xf numFmtId="37" fontId="9" fillId="0" borderId="8" xfId="0" applyFont="1" applyFill="1" applyBorder="1" applyAlignment="1">
      <alignment horizontal="center"/>
    </xf>
    <xf numFmtId="37" fontId="9" fillId="0" borderId="9" xfId="0" applyFont="1" applyFill="1" applyBorder="1" applyAlignment="1">
      <alignment horizontal="center"/>
    </xf>
    <xf numFmtId="37" fontId="9" fillId="0" borderId="10" xfId="0" applyFont="1" applyFill="1" applyBorder="1" applyAlignment="1">
      <alignment horizontal="center"/>
    </xf>
    <xf numFmtId="37" fontId="9" fillId="0" borderId="0" xfId="0" applyFont="1" applyBorder="1" applyAlignment="1">
      <alignment horizontal="center"/>
    </xf>
    <xf numFmtId="37" fontId="9" fillId="0" borderId="14" xfId="0" applyNumberFormat="1" applyFont="1" applyFill="1" applyBorder="1" applyAlignment="1" applyProtection="1">
      <alignment horizontal="center"/>
    </xf>
    <xf numFmtId="37" fontId="9" fillId="0" borderId="1" xfId="0" applyFont="1" applyBorder="1" applyAlignment="1">
      <alignment horizontal="center"/>
    </xf>
    <xf numFmtId="37" fontId="15" fillId="0" borderId="1" xfId="0" applyFont="1" applyBorder="1" applyAlignment="1">
      <alignment horizontal="center"/>
    </xf>
    <xf numFmtId="164" fontId="9" fillId="0" borderId="0" xfId="0" applyNumberFormat="1" applyFont="1" applyBorder="1" applyAlignment="1" applyProtection="1">
      <alignment horizontal="center"/>
    </xf>
    <xf numFmtId="39" fontId="9" fillId="0" borderId="14" xfId="0" applyNumberFormat="1" applyFont="1" applyFill="1" applyBorder="1" applyAlignment="1" applyProtection="1">
      <alignment horizontal="center"/>
    </xf>
    <xf numFmtId="37" fontId="9" fillId="0" borderId="5" xfId="0" applyFont="1" applyFill="1" applyBorder="1" applyAlignment="1">
      <alignment horizontal="center"/>
    </xf>
    <xf numFmtId="164" fontId="9" fillId="0" borderId="6" xfId="0" applyNumberFormat="1" applyFont="1" applyFill="1" applyBorder="1" applyAlignment="1" applyProtection="1">
      <alignment horizontal="center"/>
    </xf>
    <xf numFmtId="37" fontId="9" fillId="0" borderId="7" xfId="0" applyNumberFormat="1" applyFont="1" applyFill="1" applyBorder="1" applyAlignment="1" applyProtection="1">
      <alignment horizontal="center"/>
    </xf>
    <xf numFmtId="169" fontId="5" fillId="0" borderId="14" xfId="0" applyNumberFormat="1" applyFont="1" applyFill="1" applyBorder="1" applyAlignment="1">
      <alignment horizontal="center"/>
    </xf>
    <xf numFmtId="169" fontId="7" fillId="0" borderId="1" xfId="0" applyNumberFormat="1" applyFont="1" applyFill="1" applyBorder="1" applyAlignment="1">
      <alignment horizontal="center"/>
    </xf>
    <xf numFmtId="169" fontId="7" fillId="0" borderId="0" xfId="0" applyNumberFormat="1" applyFont="1" applyFill="1" applyBorder="1" applyAlignment="1">
      <alignment horizontal="center"/>
    </xf>
    <xf numFmtId="37" fontId="16" fillId="8" borderId="11" xfId="0" applyFont="1" applyFill="1" applyBorder="1" applyAlignment="1">
      <alignment horizontal="center" vertical="center"/>
    </xf>
    <xf numFmtId="37" fontId="16" fillId="8" borderId="2" xfId="0" applyFont="1" applyFill="1" applyBorder="1" applyAlignment="1">
      <alignment horizontal="center" vertical="center"/>
    </xf>
    <xf numFmtId="37" fontId="16" fillId="8" borderId="12" xfId="0" applyFont="1" applyFill="1" applyBorder="1" applyAlignment="1">
      <alignment horizontal="center" vertical="center"/>
    </xf>
    <xf numFmtId="37" fontId="9" fillId="0" borderId="1" xfId="0" applyFont="1" applyBorder="1" applyAlignment="1">
      <alignment horizontal="left"/>
    </xf>
    <xf numFmtId="37" fontId="9" fillId="0" borderId="0" xfId="0" applyFont="1"/>
    <xf numFmtId="37" fontId="15" fillId="6" borderId="11" xfId="0" applyFont="1" applyFill="1" applyBorder="1" applyAlignment="1">
      <alignment horizontal="center" vertical="center"/>
    </xf>
    <xf numFmtId="37" fontId="15" fillId="6" borderId="12" xfId="0" applyFont="1" applyFill="1" applyBorder="1" applyAlignment="1">
      <alignment horizontal="center" vertical="center"/>
    </xf>
    <xf numFmtId="37" fontId="9" fillId="0" borderId="0" xfId="0" applyFont="1" applyBorder="1" applyAlignment="1">
      <alignment horizontal="left"/>
    </xf>
    <xf numFmtId="37" fontId="6" fillId="4" borderId="5" xfId="0" applyFont="1" applyFill="1" applyBorder="1" applyAlignment="1">
      <alignment horizontal="left"/>
    </xf>
    <xf numFmtId="37" fontId="6" fillId="4" borderId="6" xfId="0" applyFont="1" applyFill="1" applyBorder="1" applyAlignment="1">
      <alignment horizontal="left"/>
    </xf>
    <xf numFmtId="37" fontId="6" fillId="4" borderId="7" xfId="0" applyFont="1" applyFill="1" applyBorder="1" applyAlignment="1">
      <alignment horizontal="left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828675</xdr:colOff>
      <xdr:row>0</xdr:row>
      <xdr:rowOff>114300</xdr:rowOff>
    </xdr:from>
    <xdr:to>
      <xdr:col>1</xdr:col>
      <xdr:colOff>1657350</xdr:colOff>
      <xdr:row>2</xdr:row>
      <xdr:rowOff>161925</xdr:rowOff>
    </xdr:to>
    <xdr:pic>
      <xdr:nvPicPr>
        <xdr:cNvPr id="1071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114300"/>
          <a:ext cx="8286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1</xdr:col>
      <xdr:colOff>0</xdr:colOff>
      <xdr:row>5</xdr:row>
      <xdr:rowOff>171450</xdr:rowOff>
    </xdr:to>
    <xdr:cxnSp macro="">
      <xdr:nvCxnSpPr>
        <xdr:cNvPr id="2095" name="Connecteur droit 2"/>
        <xdr:cNvCxnSpPr>
          <a:cxnSpLocks noChangeShapeType="1"/>
        </xdr:cNvCxnSpPr>
      </xdr:nvCxnSpPr>
      <xdr:spPr bwMode="auto">
        <a:xfrm>
          <a:off x="0" y="809625"/>
          <a:ext cx="118110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</xdr:row>
      <xdr:rowOff>38100</xdr:rowOff>
    </xdr:from>
    <xdr:to>
      <xdr:col>1</xdr:col>
      <xdr:colOff>57150</xdr:colOff>
      <xdr:row>5</xdr:row>
      <xdr:rowOff>219075</xdr:rowOff>
    </xdr:to>
    <xdr:cxnSp macro="">
      <xdr:nvCxnSpPr>
        <xdr:cNvPr id="3148" name="Connecteur droit 2"/>
        <xdr:cNvCxnSpPr>
          <a:cxnSpLocks noChangeShapeType="1"/>
        </xdr:cNvCxnSpPr>
      </xdr:nvCxnSpPr>
      <xdr:spPr bwMode="auto">
        <a:xfrm>
          <a:off x="57150" y="838200"/>
          <a:ext cx="142875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0</xdr:colOff>
      <xdr:row>5</xdr:row>
      <xdr:rowOff>171450</xdr:rowOff>
    </xdr:to>
    <xdr:cxnSp macro="">
      <xdr:nvCxnSpPr>
        <xdr:cNvPr id="3149" name="Connecteur droit 2"/>
        <xdr:cNvCxnSpPr>
          <a:cxnSpLocks noChangeShapeType="1"/>
        </xdr:cNvCxnSpPr>
      </xdr:nvCxnSpPr>
      <xdr:spPr bwMode="auto">
        <a:xfrm>
          <a:off x="0" y="809625"/>
          <a:ext cx="142875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</xdr:row>
      <xdr:rowOff>57150</xdr:rowOff>
    </xdr:from>
    <xdr:to>
      <xdr:col>0</xdr:col>
      <xdr:colOff>2238375</xdr:colOff>
      <xdr:row>5</xdr:row>
      <xdr:rowOff>209550</xdr:rowOff>
    </xdr:to>
    <xdr:cxnSp macro="">
      <xdr:nvCxnSpPr>
        <xdr:cNvPr id="4172" name="Connecteur droit 3"/>
        <xdr:cNvCxnSpPr>
          <a:cxnSpLocks noChangeShapeType="1"/>
        </xdr:cNvCxnSpPr>
      </xdr:nvCxnSpPr>
      <xdr:spPr bwMode="auto">
        <a:xfrm>
          <a:off x="19050" y="857250"/>
          <a:ext cx="1181100" cy="34290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4</xdr:row>
      <xdr:rowOff>9525</xdr:rowOff>
    </xdr:from>
    <xdr:to>
      <xdr:col>1</xdr:col>
      <xdr:colOff>0</xdr:colOff>
      <xdr:row>5</xdr:row>
      <xdr:rowOff>171450</xdr:rowOff>
    </xdr:to>
    <xdr:cxnSp macro="">
      <xdr:nvCxnSpPr>
        <xdr:cNvPr id="4173" name="Connecteur droit 2"/>
        <xdr:cNvCxnSpPr>
          <a:cxnSpLocks noChangeShapeType="1"/>
        </xdr:cNvCxnSpPr>
      </xdr:nvCxnSpPr>
      <xdr:spPr bwMode="auto">
        <a:xfrm>
          <a:off x="0" y="809625"/>
          <a:ext cx="1200150" cy="36195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autre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B2:E242"/>
  <sheetViews>
    <sheetView workbookViewId="0">
      <selection activeCell="E19" sqref="E19"/>
    </sheetView>
  </sheetViews>
  <sheetFormatPr baseColWidth="10" defaultColWidth="8.88671875" defaultRowHeight="15.75" x14ac:dyDescent="0.25"/>
  <cols>
    <col min="1" max="1" width="4.21875" style="5" customWidth="1"/>
    <col min="2" max="2" width="68.6640625" style="5" bestFit="1" customWidth="1"/>
    <col min="3" max="3" width="46.109375" style="5" bestFit="1" customWidth="1"/>
    <col min="4" max="4" width="17.109375" style="5" bestFit="1" customWidth="1"/>
    <col min="5" max="5" width="15.88671875" style="5" customWidth="1"/>
    <col min="6" max="16384" width="8.88671875" style="5"/>
  </cols>
  <sheetData>
    <row r="2" spans="2:5" x14ac:dyDescent="0.25">
      <c r="B2" s="15" t="s">
        <v>7</v>
      </c>
    </row>
    <row r="3" spans="2:5" x14ac:dyDescent="0.25">
      <c r="B3" s="15"/>
    </row>
    <row r="4" spans="2:5" x14ac:dyDescent="0.25">
      <c r="B4" s="15" t="s">
        <v>8</v>
      </c>
    </row>
    <row r="5" spans="2:5" x14ac:dyDescent="0.25">
      <c r="B5" s="15" t="s">
        <v>9</v>
      </c>
    </row>
    <row r="8" spans="2:5" ht="18.75" x14ac:dyDescent="0.3">
      <c r="B8" s="6" t="s">
        <v>11</v>
      </c>
    </row>
    <row r="9" spans="2:5" ht="18.75" x14ac:dyDescent="0.3">
      <c r="B9" s="7" t="s">
        <v>10</v>
      </c>
    </row>
    <row r="11" spans="2:5" x14ac:dyDescent="0.25">
      <c r="B11" s="5" t="s">
        <v>12</v>
      </c>
    </row>
    <row r="12" spans="2:5" ht="16.5" thickBot="1" x14ac:dyDescent="0.3">
      <c r="B12" s="8" t="s">
        <v>13</v>
      </c>
      <c r="C12" s="8" t="s">
        <v>14</v>
      </c>
      <c r="D12" s="8" t="s">
        <v>15</v>
      </c>
      <c r="E12" s="8" t="s">
        <v>16</v>
      </c>
    </row>
    <row r="13" spans="2:5" x14ac:dyDescent="0.25">
      <c r="B13" s="9" t="s">
        <v>17</v>
      </c>
      <c r="C13" s="10" t="s">
        <v>10</v>
      </c>
      <c r="D13" s="10" t="s">
        <v>17</v>
      </c>
      <c r="E13" s="60"/>
    </row>
    <row r="14" spans="2:5" x14ac:dyDescent="0.25">
      <c r="B14" s="9" t="s">
        <v>18</v>
      </c>
      <c r="C14" s="10" t="s">
        <v>10</v>
      </c>
      <c r="D14" s="10" t="s">
        <v>18</v>
      </c>
      <c r="E14" s="61"/>
    </row>
    <row r="15" spans="2:5" x14ac:dyDescent="0.25">
      <c r="B15" s="9" t="s">
        <v>19</v>
      </c>
      <c r="C15" s="10" t="s">
        <v>10</v>
      </c>
      <c r="D15" s="10" t="s">
        <v>19</v>
      </c>
      <c r="E15" s="62"/>
    </row>
    <row r="16" spans="2:5" ht="16.5" thickBot="1" x14ac:dyDescent="0.3">
      <c r="B16" s="11"/>
      <c r="C16" s="12"/>
      <c r="D16" s="12"/>
      <c r="E16" s="33"/>
    </row>
    <row r="18" spans="2:3" x14ac:dyDescent="0.25">
      <c r="B18" s="5" t="s">
        <v>28</v>
      </c>
      <c r="C18" s="13"/>
    </row>
    <row r="19" spans="2:3" x14ac:dyDescent="0.25">
      <c r="B19" s="5" t="s">
        <v>29</v>
      </c>
      <c r="C19" s="13"/>
    </row>
    <row r="21" spans="2:3" x14ac:dyDescent="0.25">
      <c r="B21" s="5" t="s">
        <v>3</v>
      </c>
      <c r="C21" s="5" t="s">
        <v>27</v>
      </c>
    </row>
    <row r="22" spans="2:3" x14ac:dyDescent="0.25">
      <c r="B22" s="5" t="s">
        <v>4</v>
      </c>
      <c r="C22" s="14" t="s">
        <v>5</v>
      </c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</row>
    <row r="29" spans="2:3" x14ac:dyDescent="0.25">
      <c r="B29" s="83" t="s">
        <v>25</v>
      </c>
      <c r="C29" s="65" t="s">
        <v>22</v>
      </c>
    </row>
    <row r="30" spans="2:3" x14ac:dyDescent="0.25">
      <c r="B30" s="84"/>
      <c r="C30" s="66" t="s">
        <v>26</v>
      </c>
    </row>
    <row r="31" spans="2:3" x14ac:dyDescent="0.25">
      <c r="B31" s="84"/>
      <c r="C31" s="66" t="s">
        <v>6</v>
      </c>
    </row>
    <row r="32" spans="2:3" x14ac:dyDescent="0.25">
      <c r="B32" s="85"/>
      <c r="C32" s="67" t="s">
        <v>1</v>
      </c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  <row r="234" spans="2:3" x14ac:dyDescent="0.25">
      <c r="B234"/>
      <c r="C234"/>
    </row>
    <row r="235" spans="2:3" x14ac:dyDescent="0.25">
      <c r="B235"/>
      <c r="C235"/>
    </row>
    <row r="236" spans="2:3" x14ac:dyDescent="0.25">
      <c r="B236"/>
      <c r="C236"/>
    </row>
    <row r="237" spans="2:3" x14ac:dyDescent="0.25">
      <c r="B237"/>
      <c r="C237"/>
    </row>
    <row r="238" spans="2:3" x14ac:dyDescent="0.25">
      <c r="B238"/>
      <c r="C238"/>
    </row>
    <row r="239" spans="2:3" x14ac:dyDescent="0.25">
      <c r="B239"/>
      <c r="C239"/>
    </row>
    <row r="240" spans="2:3" x14ac:dyDescent="0.25">
      <c r="B240"/>
      <c r="C240"/>
    </row>
    <row r="241" spans="2:3" x14ac:dyDescent="0.25">
      <c r="B241"/>
      <c r="C241"/>
    </row>
    <row r="242" spans="2:3" x14ac:dyDescent="0.25">
      <c r="B242"/>
      <c r="C242"/>
    </row>
  </sheetData>
  <mergeCells count="1">
    <mergeCell ref="B29:B32"/>
  </mergeCells>
  <hyperlinks>
    <hyperlink ref="C22" r:id="rId1"/>
    <hyperlink ref="B13" location="Monthly_Data!A1" display="Monthly"/>
    <hyperlink ref="B14" location="Quarterly_Data!A1" display="Quarterly"/>
    <hyperlink ref="B15" location="Annually_Data!A1" display="Annually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278"/>
  <sheetViews>
    <sheetView showGridLines="0" tabSelected="1" workbookViewId="0">
      <pane xSplit="1" ySplit="6" topLeftCell="B259" activePane="bottomRight" state="frozen"/>
      <selection pane="topRight" activeCell="B1" sqref="B1"/>
      <selection pane="bottomLeft" activeCell="A7" sqref="A7"/>
      <selection pane="bottomRight" activeCell="B268" sqref="B268:B270"/>
    </sheetView>
  </sheetViews>
  <sheetFormatPr baseColWidth="10" defaultColWidth="12.6640625" defaultRowHeight="15.75" x14ac:dyDescent="0.25"/>
  <cols>
    <col min="1" max="5" width="13.77734375" customWidth="1"/>
  </cols>
  <sheetData>
    <row r="1" spans="1:5" x14ac:dyDescent="0.25">
      <c r="A1" s="34" t="s">
        <v>20</v>
      </c>
      <c r="B1" s="35"/>
      <c r="C1" s="35"/>
      <c r="D1" s="35"/>
      <c r="E1" s="36"/>
    </row>
    <row r="2" spans="1:5" x14ac:dyDescent="0.25">
      <c r="A2" s="37" t="s">
        <v>0</v>
      </c>
      <c r="B2" s="38"/>
      <c r="C2" s="38"/>
      <c r="D2" s="38"/>
      <c r="E2" s="39"/>
    </row>
    <row r="3" spans="1:5" x14ac:dyDescent="0.25">
      <c r="A3" s="22" t="s">
        <v>0</v>
      </c>
      <c r="B3" s="23"/>
      <c r="C3" s="23"/>
      <c r="D3" s="23"/>
      <c r="E3" s="24" t="s">
        <v>2</v>
      </c>
    </row>
    <row r="4" spans="1:5" x14ac:dyDescent="0.25">
      <c r="A4" s="16" t="s">
        <v>34</v>
      </c>
      <c r="B4" s="17"/>
      <c r="C4" s="17"/>
      <c r="D4" s="17"/>
      <c r="E4" s="18"/>
    </row>
    <row r="5" spans="1:5" x14ac:dyDescent="0.25">
      <c r="A5" s="63" t="s">
        <v>21</v>
      </c>
      <c r="B5" s="88" t="s">
        <v>22</v>
      </c>
      <c r="C5" s="88" t="s">
        <v>23</v>
      </c>
      <c r="D5" s="88" t="s">
        <v>6</v>
      </c>
      <c r="E5" s="88" t="s">
        <v>1</v>
      </c>
    </row>
    <row r="6" spans="1:5" x14ac:dyDescent="0.25">
      <c r="A6" s="64" t="s">
        <v>24</v>
      </c>
      <c r="B6" s="89"/>
      <c r="C6" s="89"/>
      <c r="D6" s="89"/>
      <c r="E6" s="89"/>
    </row>
    <row r="7" spans="1:5" x14ac:dyDescent="0.25">
      <c r="A7" s="80">
        <v>36161</v>
      </c>
      <c r="B7" s="29">
        <v>2121</v>
      </c>
      <c r="C7" s="29">
        <v>191</v>
      </c>
      <c r="D7" s="29">
        <v>2446</v>
      </c>
      <c r="E7" s="29">
        <v>242</v>
      </c>
    </row>
    <row r="8" spans="1:5" x14ac:dyDescent="0.25">
      <c r="A8" s="80">
        <v>36192</v>
      </c>
      <c r="B8" s="30">
        <v>2197</v>
      </c>
      <c r="C8" s="30">
        <v>152</v>
      </c>
      <c r="D8" s="30">
        <v>1914</v>
      </c>
      <c r="E8" s="30">
        <v>126</v>
      </c>
    </row>
    <row r="9" spans="1:5" x14ac:dyDescent="0.25">
      <c r="A9" s="80">
        <v>36220</v>
      </c>
      <c r="B9" s="30">
        <v>2296</v>
      </c>
      <c r="C9" s="30">
        <v>179</v>
      </c>
      <c r="D9" s="30">
        <v>2761</v>
      </c>
      <c r="E9" s="30">
        <v>117</v>
      </c>
    </row>
    <row r="10" spans="1:5" x14ac:dyDescent="0.25">
      <c r="A10" s="80">
        <v>36251</v>
      </c>
      <c r="B10" s="30">
        <v>2395</v>
      </c>
      <c r="C10" s="30">
        <v>154</v>
      </c>
      <c r="D10" s="30">
        <v>2507</v>
      </c>
      <c r="E10" s="30">
        <v>23</v>
      </c>
    </row>
    <row r="11" spans="1:5" x14ac:dyDescent="0.25">
      <c r="A11" s="80">
        <v>36281</v>
      </c>
      <c r="B11" s="30">
        <v>2243</v>
      </c>
      <c r="C11" s="30">
        <v>181</v>
      </c>
      <c r="D11" s="30">
        <v>2574</v>
      </c>
      <c r="E11" s="30">
        <v>199</v>
      </c>
    </row>
    <row r="12" spans="1:5" x14ac:dyDescent="0.25">
      <c r="A12" s="80">
        <v>36312</v>
      </c>
      <c r="B12" s="30">
        <v>2998</v>
      </c>
      <c r="C12" s="30">
        <v>284</v>
      </c>
      <c r="D12" s="30">
        <v>2617</v>
      </c>
      <c r="E12" s="30">
        <v>260</v>
      </c>
    </row>
    <row r="13" spans="1:5" x14ac:dyDescent="0.25">
      <c r="A13" s="80">
        <v>36342</v>
      </c>
      <c r="B13" s="30">
        <v>2236</v>
      </c>
      <c r="C13" s="30">
        <v>199</v>
      </c>
      <c r="D13" s="30">
        <v>2337</v>
      </c>
      <c r="E13" s="30">
        <v>237</v>
      </c>
    </row>
    <row r="14" spans="1:5" x14ac:dyDescent="0.25">
      <c r="A14" s="80">
        <v>36373</v>
      </c>
      <c r="B14" s="30">
        <v>1827</v>
      </c>
      <c r="C14" s="30">
        <v>85</v>
      </c>
      <c r="D14" s="30">
        <v>1670</v>
      </c>
      <c r="E14" s="30">
        <v>123</v>
      </c>
    </row>
    <row r="15" spans="1:5" x14ac:dyDescent="0.25">
      <c r="A15" s="80">
        <v>36404</v>
      </c>
      <c r="B15" s="30">
        <f>2570+240</f>
        <v>2810</v>
      </c>
      <c r="C15" s="30">
        <v>49</v>
      </c>
      <c r="D15" s="30">
        <f>2295+444</f>
        <v>2739</v>
      </c>
      <c r="E15" s="30">
        <v>254</v>
      </c>
    </row>
    <row r="16" spans="1:5" x14ac:dyDescent="0.25">
      <c r="A16" s="80">
        <v>36434</v>
      </c>
      <c r="B16" s="30">
        <f>1978+582</f>
        <v>2560</v>
      </c>
      <c r="C16" s="30">
        <v>28</v>
      </c>
      <c r="D16" s="30">
        <f>2627+640</f>
        <v>3267</v>
      </c>
      <c r="E16" s="30">
        <v>288</v>
      </c>
    </row>
    <row r="17" spans="1:7" x14ac:dyDescent="0.25">
      <c r="A17" s="80">
        <v>36465</v>
      </c>
      <c r="B17" s="30">
        <f>2323+296</f>
        <v>2619</v>
      </c>
      <c r="C17" s="30">
        <v>52</v>
      </c>
      <c r="D17" s="30">
        <f>2780+292</f>
        <v>3072</v>
      </c>
      <c r="E17" s="30">
        <v>202</v>
      </c>
    </row>
    <row r="18" spans="1:7" x14ac:dyDescent="0.25">
      <c r="A18" s="80">
        <v>36495</v>
      </c>
      <c r="B18" s="30">
        <f>2856+63</f>
        <v>2919</v>
      </c>
      <c r="C18" s="30">
        <v>94</v>
      </c>
      <c r="D18" s="30">
        <f>2350+82</f>
        <v>2432</v>
      </c>
      <c r="E18" s="30">
        <v>189</v>
      </c>
    </row>
    <row r="19" spans="1:7" x14ac:dyDescent="0.25">
      <c r="A19" s="80">
        <v>36526</v>
      </c>
      <c r="B19" s="30">
        <f>2452+167</f>
        <v>2619</v>
      </c>
      <c r="C19" s="30">
        <v>231</v>
      </c>
      <c r="D19" s="30">
        <f>1494+142</f>
        <v>1636</v>
      </c>
      <c r="E19" s="30">
        <v>170</v>
      </c>
    </row>
    <row r="20" spans="1:7" x14ac:dyDescent="0.25">
      <c r="A20" s="80">
        <v>36557</v>
      </c>
      <c r="B20" s="30">
        <f>2283+46</f>
        <v>2329</v>
      </c>
      <c r="C20" s="30">
        <v>99</v>
      </c>
      <c r="D20" s="30">
        <f>2779+162</f>
        <v>2941</v>
      </c>
      <c r="E20" s="30">
        <v>115</v>
      </c>
    </row>
    <row r="21" spans="1:7" x14ac:dyDescent="0.25">
      <c r="A21" s="80">
        <v>36586</v>
      </c>
      <c r="B21" s="30">
        <f>1625+81</f>
        <v>1706</v>
      </c>
      <c r="C21" s="30">
        <v>234</v>
      </c>
      <c r="D21" s="30">
        <f>2743+146</f>
        <v>2889</v>
      </c>
      <c r="E21" s="30">
        <v>11</v>
      </c>
    </row>
    <row r="22" spans="1:7" x14ac:dyDescent="0.25">
      <c r="A22" s="80">
        <v>36617</v>
      </c>
      <c r="B22" s="30">
        <f>2140+6</f>
        <v>2146</v>
      </c>
      <c r="C22" s="30">
        <v>140</v>
      </c>
      <c r="D22" s="30">
        <f>2368+7</f>
        <v>2375</v>
      </c>
      <c r="E22" s="30">
        <v>57</v>
      </c>
    </row>
    <row r="23" spans="1:7" x14ac:dyDescent="0.25">
      <c r="A23" s="80">
        <v>36647</v>
      </c>
      <c r="B23" s="30">
        <f>2359+289</f>
        <v>2648</v>
      </c>
      <c r="C23" s="30">
        <v>267</v>
      </c>
      <c r="D23" s="30">
        <f>2853+104</f>
        <v>2957</v>
      </c>
      <c r="E23" s="30">
        <v>281</v>
      </c>
    </row>
    <row r="24" spans="1:7" x14ac:dyDescent="0.25">
      <c r="A24" s="80">
        <v>36678</v>
      </c>
      <c r="B24" s="30">
        <f>1735+16+919</f>
        <v>2670</v>
      </c>
      <c r="C24" s="30">
        <v>258</v>
      </c>
      <c r="D24" s="30">
        <f>2449+527</f>
        <v>2976</v>
      </c>
      <c r="E24" s="30">
        <v>262</v>
      </c>
    </row>
    <row r="25" spans="1:7" x14ac:dyDescent="0.25">
      <c r="A25" s="80">
        <v>36708</v>
      </c>
      <c r="B25" s="30">
        <f>1551+1147</f>
        <v>2698</v>
      </c>
      <c r="C25" s="30">
        <v>223</v>
      </c>
      <c r="D25" s="30">
        <f>1763+680</f>
        <v>2443</v>
      </c>
      <c r="E25" s="30">
        <v>96</v>
      </c>
      <c r="G25" s="1"/>
    </row>
    <row r="26" spans="1:7" x14ac:dyDescent="0.25">
      <c r="A26" s="80">
        <v>36739</v>
      </c>
      <c r="B26" s="30">
        <f>1856+916</f>
        <v>2772</v>
      </c>
      <c r="C26" s="30">
        <v>253</v>
      </c>
      <c r="D26" s="30">
        <f>1996+757</f>
        <v>2753</v>
      </c>
      <c r="E26" s="30">
        <v>277</v>
      </c>
    </row>
    <row r="27" spans="1:7" x14ac:dyDescent="0.25">
      <c r="A27" s="80">
        <v>36770</v>
      </c>
      <c r="B27" s="30">
        <f>2087+14+514</f>
        <v>2615</v>
      </c>
      <c r="C27" s="30">
        <v>211</v>
      </c>
      <c r="D27" s="30">
        <f>2334+522</f>
        <v>2856</v>
      </c>
      <c r="E27" s="30">
        <v>123</v>
      </c>
    </row>
    <row r="28" spans="1:7" x14ac:dyDescent="0.25">
      <c r="A28" s="80">
        <v>36800</v>
      </c>
      <c r="B28" s="30">
        <f>2051+509</f>
        <v>2560</v>
      </c>
      <c r="C28" s="30">
        <v>179</v>
      </c>
      <c r="D28" s="30">
        <f>2469+521</f>
        <v>2990</v>
      </c>
      <c r="E28" s="30">
        <v>162</v>
      </c>
    </row>
    <row r="29" spans="1:7" x14ac:dyDescent="0.25">
      <c r="A29" s="80">
        <v>36831</v>
      </c>
      <c r="B29" s="30">
        <f>1665+752</f>
        <v>2417</v>
      </c>
      <c r="C29" s="30">
        <v>153</v>
      </c>
      <c r="D29" s="30">
        <f>1829+363</f>
        <v>2192</v>
      </c>
      <c r="E29" s="30">
        <v>14</v>
      </c>
    </row>
    <row r="30" spans="1:7" x14ac:dyDescent="0.25">
      <c r="A30" s="80">
        <v>36861</v>
      </c>
      <c r="B30" s="30">
        <f>1809+695</f>
        <v>2504</v>
      </c>
      <c r="C30" s="30">
        <v>153</v>
      </c>
      <c r="D30" s="30">
        <f>2174+529</f>
        <v>2703</v>
      </c>
      <c r="E30" s="30">
        <v>161</v>
      </c>
    </row>
    <row r="31" spans="1:7" x14ac:dyDescent="0.25">
      <c r="A31" s="80">
        <v>36892</v>
      </c>
      <c r="B31" s="30">
        <f>2253+228</f>
        <v>2481</v>
      </c>
      <c r="C31" s="30">
        <v>160</v>
      </c>
      <c r="D31" s="30">
        <f>2535+256</f>
        <v>2791</v>
      </c>
      <c r="E31" s="30">
        <v>49</v>
      </c>
    </row>
    <row r="32" spans="1:7" x14ac:dyDescent="0.25">
      <c r="A32" s="80">
        <v>36923</v>
      </c>
      <c r="B32" s="30">
        <f>1913+416</f>
        <v>2329</v>
      </c>
      <c r="C32" s="30">
        <v>118</v>
      </c>
      <c r="D32" s="30">
        <f>1906+365</f>
        <v>2271</v>
      </c>
      <c r="E32" s="30">
        <v>57</v>
      </c>
    </row>
    <row r="33" spans="1:5" x14ac:dyDescent="0.25">
      <c r="A33" s="80">
        <v>36951</v>
      </c>
      <c r="B33" s="30">
        <f>1785+648</f>
        <v>2433</v>
      </c>
      <c r="C33" s="30">
        <v>185</v>
      </c>
      <c r="D33" s="30">
        <f>1808+455</f>
        <v>2263</v>
      </c>
      <c r="E33" s="30">
        <v>237</v>
      </c>
    </row>
    <row r="34" spans="1:5" x14ac:dyDescent="0.25">
      <c r="A34" s="80">
        <v>36982</v>
      </c>
      <c r="B34" s="30">
        <f>1649+658</f>
        <v>2307</v>
      </c>
      <c r="C34" s="30">
        <v>145</v>
      </c>
      <c r="D34" s="30">
        <f>2028+642</f>
        <v>2670</v>
      </c>
      <c r="E34" s="30">
        <v>57</v>
      </c>
    </row>
    <row r="35" spans="1:5" x14ac:dyDescent="0.25">
      <c r="A35" s="80">
        <v>37012</v>
      </c>
      <c r="B35" s="30">
        <f>1495+14+965</f>
        <v>2474</v>
      </c>
      <c r="C35" s="30">
        <v>156</v>
      </c>
      <c r="D35" s="30">
        <f>2118+9+502</f>
        <v>2629</v>
      </c>
      <c r="E35" s="30">
        <v>190</v>
      </c>
    </row>
    <row r="36" spans="1:5" x14ac:dyDescent="0.25">
      <c r="A36" s="80">
        <v>37043</v>
      </c>
      <c r="B36" s="30">
        <f>1797+612</f>
        <v>2409</v>
      </c>
      <c r="C36" s="30">
        <v>173</v>
      </c>
      <c r="D36" s="30">
        <f>2197+624</f>
        <v>2821</v>
      </c>
      <c r="E36" s="30">
        <v>96</v>
      </c>
    </row>
    <row r="37" spans="1:5" x14ac:dyDescent="0.25">
      <c r="A37" s="80">
        <v>37073</v>
      </c>
      <c r="B37" s="30">
        <f>2093+372</f>
        <v>2465</v>
      </c>
      <c r="C37" s="30">
        <v>167</v>
      </c>
      <c r="D37" s="30">
        <f>2757+505</f>
        <v>3262</v>
      </c>
      <c r="E37" s="30">
        <f>116+427</f>
        <v>543</v>
      </c>
    </row>
    <row r="38" spans="1:5" x14ac:dyDescent="0.25">
      <c r="A38" s="80">
        <v>37104</v>
      </c>
      <c r="B38" s="30">
        <f>2591+437</f>
        <v>3028</v>
      </c>
      <c r="C38" s="30">
        <v>242</v>
      </c>
      <c r="D38" s="30">
        <f>2527+605</f>
        <v>3132</v>
      </c>
      <c r="E38" s="30">
        <v>163</v>
      </c>
    </row>
    <row r="39" spans="1:5" x14ac:dyDescent="0.25">
      <c r="A39" s="80">
        <v>37135</v>
      </c>
      <c r="B39" s="30">
        <f>1916+341</f>
        <v>2257</v>
      </c>
      <c r="C39" s="30">
        <v>156</v>
      </c>
      <c r="D39" s="30">
        <f>2190+493</f>
        <v>2683</v>
      </c>
      <c r="E39" s="30">
        <v>108</v>
      </c>
    </row>
    <row r="40" spans="1:5" x14ac:dyDescent="0.25">
      <c r="A40" s="80">
        <v>37165</v>
      </c>
      <c r="B40" s="30">
        <f>2246+417</f>
        <v>2663</v>
      </c>
      <c r="C40" s="30">
        <v>176</v>
      </c>
      <c r="D40" s="30">
        <f>2425+634</f>
        <v>3059</v>
      </c>
      <c r="E40" s="30">
        <v>454</v>
      </c>
    </row>
    <row r="41" spans="1:5" x14ac:dyDescent="0.25">
      <c r="A41" s="80">
        <v>37196</v>
      </c>
      <c r="B41" s="30">
        <f>1932+428</f>
        <v>2360</v>
      </c>
      <c r="C41" s="30">
        <v>180</v>
      </c>
      <c r="D41" s="30">
        <f>2441+501</f>
        <v>2942</v>
      </c>
      <c r="E41" s="30">
        <v>268</v>
      </c>
    </row>
    <row r="42" spans="1:5" x14ac:dyDescent="0.25">
      <c r="A42" s="80">
        <v>37226</v>
      </c>
      <c r="B42" s="30">
        <f>1872+18+442</f>
        <v>2332</v>
      </c>
      <c r="C42" s="30">
        <v>162</v>
      </c>
      <c r="D42" s="30">
        <f>1745+1+508</f>
        <v>2254</v>
      </c>
      <c r="E42" s="30">
        <f>227+1</f>
        <v>228</v>
      </c>
    </row>
    <row r="43" spans="1:5" x14ac:dyDescent="0.25">
      <c r="A43" s="80">
        <v>37257</v>
      </c>
      <c r="B43" s="30">
        <f>2094+464</f>
        <v>2558</v>
      </c>
      <c r="C43" s="30">
        <v>216</v>
      </c>
      <c r="D43" s="30">
        <f>2455+368</f>
        <v>2823</v>
      </c>
      <c r="E43" s="30">
        <v>210</v>
      </c>
    </row>
    <row r="44" spans="1:5" x14ac:dyDescent="0.25">
      <c r="A44" s="80">
        <v>37288</v>
      </c>
      <c r="B44" s="30">
        <f>1983+335</f>
        <v>2318</v>
      </c>
      <c r="C44" s="30">
        <v>176</v>
      </c>
      <c r="D44" s="30">
        <f>2119+451</f>
        <v>2570</v>
      </c>
      <c r="E44" s="30">
        <v>870</v>
      </c>
    </row>
    <row r="45" spans="1:5" x14ac:dyDescent="0.25">
      <c r="A45" s="80">
        <v>37316</v>
      </c>
      <c r="B45" s="30">
        <f>1844+515</f>
        <v>2359</v>
      </c>
      <c r="C45" s="30">
        <v>172</v>
      </c>
      <c r="D45" s="30">
        <f>2107+825</f>
        <v>2932</v>
      </c>
      <c r="E45" s="30">
        <v>496</v>
      </c>
    </row>
    <row r="46" spans="1:5" x14ac:dyDescent="0.25">
      <c r="A46" s="80">
        <v>37347</v>
      </c>
      <c r="B46" s="30">
        <f>1873+787</f>
        <v>2660</v>
      </c>
      <c r="C46" s="30">
        <v>126</v>
      </c>
      <c r="D46" s="30">
        <f>2580+789</f>
        <v>3369</v>
      </c>
      <c r="E46" s="30">
        <v>392</v>
      </c>
    </row>
    <row r="47" spans="1:5" x14ac:dyDescent="0.25">
      <c r="A47" s="80">
        <v>37377</v>
      </c>
      <c r="B47" s="30">
        <f>2108+869</f>
        <v>2977</v>
      </c>
      <c r="C47" s="30">
        <v>177</v>
      </c>
      <c r="D47" s="30">
        <f>2394+991</f>
        <v>3385</v>
      </c>
      <c r="E47" s="30">
        <v>434</v>
      </c>
    </row>
    <row r="48" spans="1:5" x14ac:dyDescent="0.25">
      <c r="A48" s="80">
        <v>37408</v>
      </c>
      <c r="B48" s="30">
        <f>1926+8+452+14</f>
        <v>2400</v>
      </c>
      <c r="C48" s="30">
        <v>203</v>
      </c>
      <c r="D48" s="30">
        <f>2460+543+5</f>
        <v>3008</v>
      </c>
      <c r="E48" s="30">
        <v>296</v>
      </c>
    </row>
    <row r="49" spans="1:5" x14ac:dyDescent="0.25">
      <c r="A49" s="80">
        <v>37438</v>
      </c>
      <c r="B49" s="30">
        <f>2680+404</f>
        <v>3084</v>
      </c>
      <c r="C49" s="30">
        <v>205</v>
      </c>
      <c r="D49" s="30">
        <f>2754+337</f>
        <v>3091</v>
      </c>
      <c r="E49" s="30">
        <v>415</v>
      </c>
    </row>
    <row r="50" spans="1:5" x14ac:dyDescent="0.25">
      <c r="A50" s="80">
        <v>37469</v>
      </c>
      <c r="B50" s="30">
        <f>2548+297</f>
        <v>2845</v>
      </c>
      <c r="C50" s="30">
        <f>207</f>
        <v>207</v>
      </c>
      <c r="D50" s="30">
        <f>2827+347</f>
        <v>3174</v>
      </c>
      <c r="E50" s="30">
        <v>206</v>
      </c>
    </row>
    <row r="51" spans="1:5" x14ac:dyDescent="0.25">
      <c r="A51" s="80">
        <v>37500</v>
      </c>
      <c r="B51" s="30">
        <f>2633+14</f>
        <v>2647</v>
      </c>
      <c r="C51" s="30">
        <v>95</v>
      </c>
      <c r="D51" s="30">
        <f>2649+27</f>
        <v>2676</v>
      </c>
      <c r="E51" s="30">
        <v>274</v>
      </c>
    </row>
    <row r="52" spans="1:5" x14ac:dyDescent="0.25">
      <c r="A52" s="80">
        <v>37530</v>
      </c>
      <c r="B52" s="30">
        <f>2945+85</f>
        <v>3030</v>
      </c>
      <c r="C52" s="30">
        <v>210</v>
      </c>
      <c r="D52" s="30">
        <f>3224+1</f>
        <v>3225</v>
      </c>
      <c r="E52" s="30">
        <v>401</v>
      </c>
    </row>
    <row r="53" spans="1:5" x14ac:dyDescent="0.25">
      <c r="A53" s="80">
        <v>37561</v>
      </c>
      <c r="B53" s="30">
        <f>2366+23</f>
        <v>2389</v>
      </c>
      <c r="C53" s="30">
        <v>238</v>
      </c>
      <c r="D53" s="30">
        <f>2614+6</f>
        <v>2620</v>
      </c>
      <c r="E53" s="30">
        <f>302+24</f>
        <v>326</v>
      </c>
    </row>
    <row r="54" spans="1:5" x14ac:dyDescent="0.25">
      <c r="A54" s="80">
        <v>37591</v>
      </c>
      <c r="B54" s="30">
        <f>2810+12</f>
        <v>2822</v>
      </c>
      <c r="C54" s="30">
        <v>178</v>
      </c>
      <c r="D54" s="30">
        <f>2338+1</f>
        <v>2339</v>
      </c>
      <c r="E54" s="30">
        <v>302</v>
      </c>
    </row>
    <row r="55" spans="1:5" x14ac:dyDescent="0.25">
      <c r="A55" s="80">
        <v>37622</v>
      </c>
      <c r="B55" s="30">
        <v>2387</v>
      </c>
      <c r="C55" s="30">
        <v>191</v>
      </c>
      <c r="D55" s="30">
        <v>2599</v>
      </c>
      <c r="E55" s="30">
        <v>250</v>
      </c>
    </row>
    <row r="56" spans="1:5" x14ac:dyDescent="0.25">
      <c r="A56" s="80">
        <v>37653</v>
      </c>
      <c r="B56" s="30">
        <v>2236</v>
      </c>
      <c r="C56" s="30">
        <v>192</v>
      </c>
      <c r="D56" s="30">
        <v>2243</v>
      </c>
      <c r="E56" s="30">
        <v>390</v>
      </c>
    </row>
    <row r="57" spans="1:5" x14ac:dyDescent="0.25">
      <c r="A57" s="80">
        <v>37681</v>
      </c>
      <c r="B57" s="30">
        <v>2519</v>
      </c>
      <c r="C57" s="30">
        <v>161</v>
      </c>
      <c r="D57" s="30">
        <v>2672</v>
      </c>
      <c r="E57" s="30">
        <v>266</v>
      </c>
    </row>
    <row r="58" spans="1:5" x14ac:dyDescent="0.25">
      <c r="A58" s="80">
        <v>37712</v>
      </c>
      <c r="B58" s="30">
        <v>2180</v>
      </c>
      <c r="C58" s="30">
        <v>88</v>
      </c>
      <c r="D58" s="30">
        <v>2747</v>
      </c>
      <c r="E58" s="30">
        <v>244</v>
      </c>
    </row>
    <row r="59" spans="1:5" x14ac:dyDescent="0.25">
      <c r="A59" s="80">
        <v>37742</v>
      </c>
      <c r="B59" s="30">
        <v>1937</v>
      </c>
      <c r="C59" s="30">
        <v>84</v>
      </c>
      <c r="D59" s="30">
        <v>1778</v>
      </c>
      <c r="E59" s="30">
        <v>199</v>
      </c>
    </row>
    <row r="60" spans="1:5" x14ac:dyDescent="0.25">
      <c r="A60" s="80">
        <v>37773</v>
      </c>
      <c r="B60" s="30">
        <v>2335</v>
      </c>
      <c r="C60" s="30">
        <v>210</v>
      </c>
      <c r="D60" s="30">
        <v>2266</v>
      </c>
      <c r="E60" s="30">
        <v>400</v>
      </c>
    </row>
    <row r="61" spans="1:5" x14ac:dyDescent="0.25">
      <c r="A61" s="80">
        <v>37803</v>
      </c>
      <c r="B61" s="30">
        <v>2307</v>
      </c>
      <c r="C61" s="30">
        <v>176</v>
      </c>
      <c r="D61" s="30">
        <v>2086</v>
      </c>
      <c r="E61" s="30">
        <v>531</v>
      </c>
    </row>
    <row r="62" spans="1:5" x14ac:dyDescent="0.25">
      <c r="A62" s="80">
        <v>37834</v>
      </c>
      <c r="B62" s="30">
        <v>2280</v>
      </c>
      <c r="C62" s="30">
        <v>172</v>
      </c>
      <c r="D62" s="30">
        <v>1880</v>
      </c>
      <c r="E62" s="30">
        <v>436</v>
      </c>
    </row>
    <row r="63" spans="1:5" x14ac:dyDescent="0.25">
      <c r="A63" s="80">
        <v>37865</v>
      </c>
      <c r="B63" s="30">
        <v>2067</v>
      </c>
      <c r="C63" s="30">
        <v>169</v>
      </c>
      <c r="D63" s="30">
        <v>2167</v>
      </c>
      <c r="E63" s="30">
        <v>434</v>
      </c>
    </row>
    <row r="64" spans="1:5" x14ac:dyDescent="0.25">
      <c r="A64" s="80">
        <v>37895</v>
      </c>
      <c r="B64" s="30">
        <v>2176</v>
      </c>
      <c r="C64" s="30">
        <v>103</v>
      </c>
      <c r="D64" s="30">
        <v>2072</v>
      </c>
      <c r="E64" s="30">
        <v>690</v>
      </c>
    </row>
    <row r="65" spans="1:5" x14ac:dyDescent="0.25">
      <c r="A65" s="80">
        <v>37926</v>
      </c>
      <c r="B65" s="30">
        <v>1833</v>
      </c>
      <c r="C65" s="30">
        <v>47</v>
      </c>
      <c r="D65" s="30">
        <v>1513</v>
      </c>
      <c r="E65" s="30">
        <v>471</v>
      </c>
    </row>
    <row r="66" spans="1:5" x14ac:dyDescent="0.25">
      <c r="A66" s="80">
        <v>37956</v>
      </c>
      <c r="B66" s="30">
        <v>2179</v>
      </c>
      <c r="C66" s="30">
        <v>79</v>
      </c>
      <c r="D66" s="30">
        <v>1586</v>
      </c>
      <c r="E66" s="30">
        <v>679</v>
      </c>
    </row>
    <row r="67" spans="1:5" x14ac:dyDescent="0.25">
      <c r="A67" s="80">
        <v>37987</v>
      </c>
      <c r="B67" s="30">
        <v>2485</v>
      </c>
      <c r="C67" s="30">
        <v>160</v>
      </c>
      <c r="D67" s="30">
        <v>2780</v>
      </c>
      <c r="E67" s="30">
        <v>641</v>
      </c>
    </row>
    <row r="68" spans="1:5" x14ac:dyDescent="0.25">
      <c r="A68" s="80">
        <v>38018</v>
      </c>
      <c r="B68" s="30">
        <v>2132</v>
      </c>
      <c r="C68" s="30">
        <v>122</v>
      </c>
      <c r="D68" s="30">
        <v>2704</v>
      </c>
      <c r="E68" s="30">
        <v>697</v>
      </c>
    </row>
    <row r="69" spans="1:5" x14ac:dyDescent="0.25">
      <c r="A69" s="80">
        <v>38047</v>
      </c>
      <c r="B69" s="30">
        <v>2547</v>
      </c>
      <c r="C69" s="30">
        <v>26</v>
      </c>
      <c r="D69" s="30">
        <v>2801</v>
      </c>
      <c r="E69" s="30">
        <v>815</v>
      </c>
    </row>
    <row r="70" spans="1:5" x14ac:dyDescent="0.25">
      <c r="A70" s="80">
        <v>38078</v>
      </c>
      <c r="B70" s="30">
        <v>2343</v>
      </c>
      <c r="C70" s="30">
        <v>104</v>
      </c>
      <c r="D70" s="30">
        <v>2795</v>
      </c>
      <c r="E70" s="30">
        <v>1105</v>
      </c>
    </row>
    <row r="71" spans="1:5" x14ac:dyDescent="0.25">
      <c r="A71" s="80">
        <v>38108</v>
      </c>
      <c r="B71" s="30">
        <v>2441</v>
      </c>
      <c r="C71" s="30">
        <v>98</v>
      </c>
      <c r="D71" s="30">
        <v>2602</v>
      </c>
      <c r="E71" s="30">
        <v>436</v>
      </c>
    </row>
    <row r="72" spans="1:5" x14ac:dyDescent="0.25">
      <c r="A72" s="80">
        <v>38139</v>
      </c>
      <c r="B72" s="30">
        <v>2273</v>
      </c>
      <c r="C72" s="30">
        <v>116</v>
      </c>
      <c r="D72" s="30">
        <v>2607</v>
      </c>
      <c r="E72" s="30">
        <v>909</v>
      </c>
    </row>
    <row r="73" spans="1:5" x14ac:dyDescent="0.25">
      <c r="A73" s="80">
        <v>38169</v>
      </c>
      <c r="B73" s="30">
        <v>2398</v>
      </c>
      <c r="C73" s="30">
        <v>63</v>
      </c>
      <c r="D73" s="30">
        <v>2830</v>
      </c>
      <c r="E73" s="30">
        <v>1055</v>
      </c>
    </row>
    <row r="74" spans="1:5" x14ac:dyDescent="0.25">
      <c r="A74" s="80">
        <v>38200</v>
      </c>
      <c r="B74" s="30">
        <v>2683</v>
      </c>
      <c r="C74" s="30">
        <v>178</v>
      </c>
      <c r="D74" s="30">
        <v>2977</v>
      </c>
      <c r="E74" s="30">
        <v>388</v>
      </c>
    </row>
    <row r="75" spans="1:5" x14ac:dyDescent="0.25">
      <c r="A75" s="80">
        <v>38231</v>
      </c>
      <c r="B75" s="30">
        <v>2225</v>
      </c>
      <c r="C75" s="30">
        <v>56</v>
      </c>
      <c r="D75" s="30">
        <v>3035</v>
      </c>
      <c r="E75" s="30">
        <v>568</v>
      </c>
    </row>
    <row r="76" spans="1:5" x14ac:dyDescent="0.25">
      <c r="A76" s="80">
        <v>38261</v>
      </c>
      <c r="B76" s="30">
        <v>2328</v>
      </c>
      <c r="C76" s="30">
        <v>43</v>
      </c>
      <c r="D76" s="30">
        <v>2868</v>
      </c>
      <c r="E76" s="30">
        <v>610</v>
      </c>
    </row>
    <row r="77" spans="1:5" x14ac:dyDescent="0.25">
      <c r="A77" s="80">
        <v>38292</v>
      </c>
      <c r="B77" s="30">
        <v>2366</v>
      </c>
      <c r="C77" s="30">
        <v>44</v>
      </c>
      <c r="D77" s="30">
        <v>2869</v>
      </c>
      <c r="E77" s="30">
        <v>342</v>
      </c>
    </row>
    <row r="78" spans="1:5" x14ac:dyDescent="0.25">
      <c r="A78" s="80">
        <v>38322</v>
      </c>
      <c r="B78" s="30">
        <v>2447</v>
      </c>
      <c r="C78" s="30">
        <v>117</v>
      </c>
      <c r="D78" s="30">
        <v>2604</v>
      </c>
      <c r="E78" s="30">
        <v>542</v>
      </c>
    </row>
    <row r="79" spans="1:5" x14ac:dyDescent="0.25">
      <c r="A79" s="80">
        <v>38353</v>
      </c>
      <c r="B79" s="30">
        <v>2366</v>
      </c>
      <c r="C79" s="30">
        <v>117</v>
      </c>
      <c r="D79" s="30">
        <v>2679</v>
      </c>
      <c r="E79" s="30">
        <v>395</v>
      </c>
    </row>
    <row r="80" spans="1:5" x14ac:dyDescent="0.25">
      <c r="A80" s="80">
        <v>38384</v>
      </c>
      <c r="B80" s="30">
        <v>2126</v>
      </c>
      <c r="C80" s="30">
        <v>36</v>
      </c>
      <c r="D80" s="30">
        <v>2416</v>
      </c>
      <c r="E80" s="30">
        <v>658</v>
      </c>
    </row>
    <row r="81" spans="1:6" x14ac:dyDescent="0.25">
      <c r="A81" s="80">
        <v>38412</v>
      </c>
      <c r="B81" s="30">
        <v>2355</v>
      </c>
      <c r="C81" s="30">
        <v>64</v>
      </c>
      <c r="D81" s="30">
        <v>2800</v>
      </c>
      <c r="E81" s="30">
        <v>600</v>
      </c>
    </row>
    <row r="82" spans="1:6" x14ac:dyDescent="0.25">
      <c r="A82" s="80">
        <v>38443</v>
      </c>
      <c r="B82" s="30">
        <v>2521</v>
      </c>
      <c r="C82" s="30">
        <v>95</v>
      </c>
      <c r="D82" s="30">
        <v>2723</v>
      </c>
      <c r="E82" s="30">
        <v>995</v>
      </c>
    </row>
    <row r="83" spans="1:6" x14ac:dyDescent="0.25">
      <c r="A83" s="80">
        <v>38473</v>
      </c>
      <c r="B83" s="30">
        <v>2286</v>
      </c>
      <c r="C83" s="30">
        <v>131</v>
      </c>
      <c r="D83" s="30">
        <v>2769</v>
      </c>
      <c r="E83" s="30">
        <v>806</v>
      </c>
    </row>
    <row r="84" spans="1:6" x14ac:dyDescent="0.25">
      <c r="A84" s="80">
        <v>38504</v>
      </c>
      <c r="B84" s="30">
        <v>1763</v>
      </c>
      <c r="C84" s="30">
        <v>127</v>
      </c>
      <c r="D84" s="30">
        <v>2248</v>
      </c>
      <c r="E84" s="30">
        <v>413</v>
      </c>
    </row>
    <row r="85" spans="1:6" x14ac:dyDescent="0.25">
      <c r="A85" s="80">
        <v>38534</v>
      </c>
      <c r="B85" s="30">
        <v>2031</v>
      </c>
      <c r="C85" s="30">
        <v>180</v>
      </c>
      <c r="D85" s="30">
        <v>2812</v>
      </c>
      <c r="E85" s="30">
        <v>516</v>
      </c>
    </row>
    <row r="86" spans="1:6" x14ac:dyDescent="0.25">
      <c r="A86" s="80">
        <v>38565</v>
      </c>
      <c r="B86" s="30">
        <v>3110</v>
      </c>
      <c r="C86" s="30">
        <v>158</v>
      </c>
      <c r="D86" s="30">
        <v>3437</v>
      </c>
      <c r="E86" s="30">
        <v>560</v>
      </c>
    </row>
    <row r="87" spans="1:6" x14ac:dyDescent="0.25">
      <c r="A87" s="80">
        <v>38596</v>
      </c>
      <c r="B87" s="30">
        <v>2945</v>
      </c>
      <c r="C87" s="30">
        <v>148</v>
      </c>
      <c r="D87" s="30">
        <v>3493</v>
      </c>
      <c r="E87" s="30">
        <v>627</v>
      </c>
    </row>
    <row r="88" spans="1:6" x14ac:dyDescent="0.25">
      <c r="A88" s="80">
        <v>38626</v>
      </c>
      <c r="B88" s="30">
        <v>2967</v>
      </c>
      <c r="C88" s="30">
        <v>103</v>
      </c>
      <c r="D88" s="30">
        <v>3478</v>
      </c>
      <c r="E88" s="30">
        <v>491</v>
      </c>
    </row>
    <row r="89" spans="1:6" x14ac:dyDescent="0.25">
      <c r="A89" s="80">
        <v>38657</v>
      </c>
      <c r="B89" s="30">
        <v>2572</v>
      </c>
      <c r="C89" s="30">
        <v>140</v>
      </c>
      <c r="D89" s="30">
        <v>2876</v>
      </c>
      <c r="E89" s="30">
        <v>647</v>
      </c>
    </row>
    <row r="90" spans="1:6" x14ac:dyDescent="0.25">
      <c r="A90" s="80">
        <v>38687</v>
      </c>
      <c r="B90" s="30">
        <v>2398</v>
      </c>
      <c r="C90" s="30">
        <v>56</v>
      </c>
      <c r="D90" s="30">
        <v>2481</v>
      </c>
      <c r="E90" s="30">
        <v>627</v>
      </c>
      <c r="F90" s="2"/>
    </row>
    <row r="91" spans="1:6" x14ac:dyDescent="0.25">
      <c r="A91" s="80">
        <v>38718</v>
      </c>
      <c r="B91" s="30">
        <v>2199</v>
      </c>
      <c r="C91" s="30">
        <v>69</v>
      </c>
      <c r="D91" s="30">
        <v>2525</v>
      </c>
      <c r="E91" s="30">
        <v>266</v>
      </c>
      <c r="F91" s="2"/>
    </row>
    <row r="92" spans="1:6" x14ac:dyDescent="0.25">
      <c r="A92" s="80">
        <v>38749</v>
      </c>
      <c r="B92" s="30">
        <v>2105</v>
      </c>
      <c r="C92" s="30">
        <v>22</v>
      </c>
      <c r="D92" s="30">
        <v>1951</v>
      </c>
      <c r="E92" s="30">
        <v>495</v>
      </c>
      <c r="F92" s="2"/>
    </row>
    <row r="93" spans="1:6" x14ac:dyDescent="0.25">
      <c r="A93" s="80">
        <v>38777</v>
      </c>
      <c r="B93" s="30">
        <v>2328</v>
      </c>
      <c r="C93" s="30">
        <v>100</v>
      </c>
      <c r="D93" s="30">
        <v>2630</v>
      </c>
      <c r="E93" s="30">
        <v>828</v>
      </c>
      <c r="F93" s="2"/>
    </row>
    <row r="94" spans="1:6" x14ac:dyDescent="0.25">
      <c r="A94" s="80">
        <v>38808</v>
      </c>
      <c r="B94" s="30">
        <v>2617</v>
      </c>
      <c r="C94" s="30">
        <v>92</v>
      </c>
      <c r="D94" s="30">
        <v>2846</v>
      </c>
      <c r="E94" s="30">
        <v>588</v>
      </c>
      <c r="F94" s="2"/>
    </row>
    <row r="95" spans="1:6" x14ac:dyDescent="0.25">
      <c r="A95" s="80">
        <v>38838</v>
      </c>
      <c r="B95" s="30">
        <v>2306</v>
      </c>
      <c r="C95" s="30">
        <v>117</v>
      </c>
      <c r="D95" s="30">
        <v>2534</v>
      </c>
      <c r="E95" s="30">
        <v>250</v>
      </c>
      <c r="F95" s="2"/>
    </row>
    <row r="96" spans="1:6" x14ac:dyDescent="0.25">
      <c r="A96" s="80">
        <v>38869</v>
      </c>
      <c r="B96" s="30">
        <v>2693</v>
      </c>
      <c r="C96" s="30">
        <v>130</v>
      </c>
      <c r="D96" s="30">
        <v>3041</v>
      </c>
      <c r="E96" s="30">
        <v>770</v>
      </c>
      <c r="F96" s="2"/>
    </row>
    <row r="97" spans="1:6" x14ac:dyDescent="0.25">
      <c r="A97" s="80">
        <v>38899</v>
      </c>
      <c r="B97" s="30">
        <v>2913</v>
      </c>
      <c r="C97" s="30">
        <v>184</v>
      </c>
      <c r="D97" s="30">
        <v>2599</v>
      </c>
      <c r="E97" s="30">
        <v>855</v>
      </c>
      <c r="F97" s="2"/>
    </row>
    <row r="98" spans="1:6" x14ac:dyDescent="0.25">
      <c r="A98" s="80">
        <v>38930</v>
      </c>
      <c r="B98" s="30">
        <v>2776</v>
      </c>
      <c r="C98" s="30">
        <v>146</v>
      </c>
      <c r="D98" s="30">
        <v>2869</v>
      </c>
      <c r="E98" s="30">
        <v>755</v>
      </c>
      <c r="F98" s="2"/>
    </row>
    <row r="99" spans="1:6" x14ac:dyDescent="0.25">
      <c r="A99" s="80">
        <v>38961</v>
      </c>
      <c r="B99" s="30">
        <v>2817</v>
      </c>
      <c r="C99" s="30">
        <v>91</v>
      </c>
      <c r="D99" s="30">
        <v>2772</v>
      </c>
      <c r="E99" s="30">
        <v>586</v>
      </c>
      <c r="F99" s="2"/>
    </row>
    <row r="100" spans="1:6" x14ac:dyDescent="0.25">
      <c r="A100" s="80">
        <v>38991</v>
      </c>
      <c r="B100" s="30">
        <v>2670</v>
      </c>
      <c r="C100" s="30">
        <v>328</v>
      </c>
      <c r="D100" s="30">
        <v>2706</v>
      </c>
      <c r="E100" s="30">
        <v>847</v>
      </c>
      <c r="F100" s="2"/>
    </row>
    <row r="101" spans="1:6" x14ac:dyDescent="0.25">
      <c r="A101" s="80">
        <v>39022</v>
      </c>
      <c r="B101" s="30">
        <v>2330</v>
      </c>
      <c r="C101" s="30">
        <v>246</v>
      </c>
      <c r="D101" s="30">
        <v>2987</v>
      </c>
      <c r="E101" s="30">
        <v>597</v>
      </c>
      <c r="F101" s="2"/>
    </row>
    <row r="102" spans="1:6" x14ac:dyDescent="0.25">
      <c r="A102" s="80">
        <v>39052</v>
      </c>
      <c r="B102" s="30">
        <v>2982</v>
      </c>
      <c r="C102" s="30">
        <v>185</v>
      </c>
      <c r="D102" s="30">
        <v>2802</v>
      </c>
      <c r="E102" s="30">
        <v>419</v>
      </c>
      <c r="F102" s="2"/>
    </row>
    <row r="103" spans="1:6" x14ac:dyDescent="0.25">
      <c r="A103" s="80">
        <v>39083</v>
      </c>
      <c r="B103" s="30">
        <v>2430</v>
      </c>
      <c r="C103" s="30">
        <v>239</v>
      </c>
      <c r="D103" s="30">
        <v>2321</v>
      </c>
      <c r="E103" s="30">
        <v>596</v>
      </c>
      <c r="F103" s="2"/>
    </row>
    <row r="104" spans="1:6" x14ac:dyDescent="0.25">
      <c r="A104" s="80">
        <v>39114</v>
      </c>
      <c r="B104" s="30">
        <v>2321</v>
      </c>
      <c r="C104" s="30">
        <v>243</v>
      </c>
      <c r="D104" s="30">
        <v>2325</v>
      </c>
      <c r="E104" s="30">
        <v>443</v>
      </c>
      <c r="F104" s="2"/>
    </row>
    <row r="105" spans="1:6" x14ac:dyDescent="0.25">
      <c r="A105" s="80">
        <v>39142</v>
      </c>
      <c r="B105" s="30">
        <v>2818</v>
      </c>
      <c r="C105" s="30">
        <v>249</v>
      </c>
      <c r="D105" s="30">
        <v>2599</v>
      </c>
      <c r="E105" s="30">
        <v>452</v>
      </c>
      <c r="F105" s="2"/>
    </row>
    <row r="106" spans="1:6" x14ac:dyDescent="0.25">
      <c r="A106" s="80">
        <v>39173</v>
      </c>
      <c r="B106" s="30">
        <v>2746</v>
      </c>
      <c r="C106" s="30">
        <v>229</v>
      </c>
      <c r="D106" s="30">
        <v>2731</v>
      </c>
      <c r="E106" s="30">
        <v>426</v>
      </c>
      <c r="F106" s="2"/>
    </row>
    <row r="107" spans="1:6" x14ac:dyDescent="0.25">
      <c r="A107" s="80">
        <v>39203</v>
      </c>
      <c r="B107" s="30">
        <f>2275+11</f>
        <v>2286</v>
      </c>
      <c r="C107" s="30">
        <v>183</v>
      </c>
      <c r="D107" s="30">
        <v>1931</v>
      </c>
      <c r="E107" s="30">
        <f>565+1</f>
        <v>566</v>
      </c>
      <c r="F107" s="2"/>
    </row>
    <row r="108" spans="1:6" x14ac:dyDescent="0.25">
      <c r="A108" s="80">
        <v>39234</v>
      </c>
      <c r="B108" s="30">
        <f>2870+16</f>
        <v>2886</v>
      </c>
      <c r="C108" s="30">
        <v>454</v>
      </c>
      <c r="D108" s="30">
        <v>2459</v>
      </c>
      <c r="E108" s="30">
        <v>301</v>
      </c>
      <c r="F108" s="2"/>
    </row>
    <row r="109" spans="1:6" ht="16.5" customHeight="1" x14ac:dyDescent="0.25">
      <c r="A109" s="80">
        <v>39264</v>
      </c>
      <c r="B109" s="30">
        <f>2815+18</f>
        <v>2833</v>
      </c>
      <c r="C109" s="30">
        <v>231</v>
      </c>
      <c r="D109" s="30">
        <v>2704</v>
      </c>
      <c r="E109" s="30">
        <v>517</v>
      </c>
      <c r="F109" s="2"/>
    </row>
    <row r="110" spans="1:6" x14ac:dyDescent="0.25">
      <c r="A110" s="80">
        <v>39295</v>
      </c>
      <c r="B110" s="30">
        <f>2934+15</f>
        <v>2949</v>
      </c>
      <c r="C110" s="30">
        <v>452</v>
      </c>
      <c r="D110" s="30">
        <v>2985</v>
      </c>
      <c r="E110" s="30">
        <v>535</v>
      </c>
      <c r="F110" s="2"/>
    </row>
    <row r="111" spans="1:6" x14ac:dyDescent="0.25">
      <c r="A111" s="80">
        <v>39326</v>
      </c>
      <c r="B111" s="30">
        <f>3149+2</f>
        <v>3151</v>
      </c>
      <c r="C111" s="30">
        <f>323+2</f>
        <v>325</v>
      </c>
      <c r="D111" s="30">
        <v>2557</v>
      </c>
      <c r="E111" s="30">
        <f>264+2</f>
        <v>266</v>
      </c>
      <c r="F111" s="2"/>
    </row>
    <row r="112" spans="1:6" x14ac:dyDescent="0.25">
      <c r="A112" s="80">
        <v>39356</v>
      </c>
      <c r="B112" s="30">
        <f>2329+6</f>
        <v>2335</v>
      </c>
      <c r="C112" s="30">
        <f>261+1</f>
        <v>262</v>
      </c>
      <c r="D112" s="30">
        <v>2303</v>
      </c>
      <c r="E112" s="30">
        <f>410+1</f>
        <v>411</v>
      </c>
      <c r="F112" s="2"/>
    </row>
    <row r="113" spans="1:6" x14ac:dyDescent="0.25">
      <c r="A113" s="80">
        <v>39387</v>
      </c>
      <c r="B113" s="30">
        <f>2641+21</f>
        <v>2662</v>
      </c>
      <c r="C113" s="30">
        <f>258+5</f>
        <v>263</v>
      </c>
      <c r="D113" s="30">
        <f>2453+39</f>
        <v>2492</v>
      </c>
      <c r="E113" s="30">
        <f>603+3</f>
        <v>606</v>
      </c>
      <c r="F113" s="2"/>
    </row>
    <row r="114" spans="1:6" x14ac:dyDescent="0.25">
      <c r="A114" s="80">
        <v>39417</v>
      </c>
      <c r="B114" s="30">
        <f>3398+33</f>
        <v>3431</v>
      </c>
      <c r="C114" s="30">
        <f>280+4</f>
        <v>284</v>
      </c>
      <c r="D114" s="30">
        <f>3541+53</f>
        <v>3594</v>
      </c>
      <c r="E114" s="30">
        <f>490+3</f>
        <v>493</v>
      </c>
      <c r="F114" s="2"/>
    </row>
    <row r="115" spans="1:6" x14ac:dyDescent="0.25">
      <c r="A115" s="80">
        <v>39448</v>
      </c>
      <c r="B115" s="30">
        <f>2191+27</f>
        <v>2218</v>
      </c>
      <c r="C115" s="30">
        <v>245</v>
      </c>
      <c r="D115" s="30">
        <v>2493</v>
      </c>
      <c r="E115" s="30">
        <v>525</v>
      </c>
      <c r="F115" s="2"/>
    </row>
    <row r="116" spans="1:6" x14ac:dyDescent="0.25">
      <c r="A116" s="80">
        <v>39479</v>
      </c>
      <c r="B116" s="30">
        <f>2219+1</f>
        <v>2220</v>
      </c>
      <c r="C116" s="30">
        <v>186</v>
      </c>
      <c r="D116" s="30">
        <f>2651+2</f>
        <v>2653</v>
      </c>
      <c r="E116" s="30">
        <v>435</v>
      </c>
      <c r="F116" s="2"/>
    </row>
    <row r="117" spans="1:6" x14ac:dyDescent="0.25">
      <c r="A117" s="80">
        <v>39508</v>
      </c>
      <c r="B117" s="30">
        <v>2837</v>
      </c>
      <c r="C117" s="30">
        <v>210</v>
      </c>
      <c r="D117" s="30">
        <v>2921</v>
      </c>
      <c r="E117" s="30">
        <f>379+4</f>
        <v>383</v>
      </c>
      <c r="F117" s="2"/>
    </row>
    <row r="118" spans="1:6" x14ac:dyDescent="0.25">
      <c r="A118" s="80">
        <v>39539</v>
      </c>
      <c r="B118" s="30">
        <f>2970+9</f>
        <v>2979</v>
      </c>
      <c r="C118" s="30">
        <f>267+4</f>
        <v>271</v>
      </c>
      <c r="D118" s="30">
        <v>2776</v>
      </c>
      <c r="E118" s="30">
        <f>444+5</f>
        <v>449</v>
      </c>
      <c r="F118" s="2"/>
    </row>
    <row r="119" spans="1:6" x14ac:dyDescent="0.25">
      <c r="A119" s="80">
        <v>39569</v>
      </c>
      <c r="B119" s="30">
        <f>2560+26</f>
        <v>2586</v>
      </c>
      <c r="C119" s="30">
        <f>282+4</f>
        <v>286</v>
      </c>
      <c r="D119" s="30">
        <v>2756</v>
      </c>
      <c r="E119" s="30">
        <f>456+8</f>
        <v>464</v>
      </c>
      <c r="F119" s="2"/>
    </row>
    <row r="120" spans="1:6" x14ac:dyDescent="0.25">
      <c r="A120" s="80">
        <v>39600</v>
      </c>
      <c r="B120" s="30">
        <f>3491+30</f>
        <v>3521</v>
      </c>
      <c r="C120" s="30">
        <f>288+2</f>
        <v>290</v>
      </c>
      <c r="D120" s="30">
        <f>2922+5</f>
        <v>2927</v>
      </c>
      <c r="E120" s="30">
        <v>600</v>
      </c>
      <c r="F120" s="2"/>
    </row>
    <row r="121" spans="1:6" x14ac:dyDescent="0.25">
      <c r="A121" s="80">
        <v>39630</v>
      </c>
      <c r="B121" s="30">
        <f>3098+8</f>
        <v>3106</v>
      </c>
      <c r="C121" s="30">
        <v>304</v>
      </c>
      <c r="D121" s="30">
        <f>2911+13</f>
        <v>2924</v>
      </c>
      <c r="E121" s="30">
        <f>382+1</f>
        <v>383</v>
      </c>
      <c r="F121" s="2"/>
    </row>
    <row r="122" spans="1:6" x14ac:dyDescent="0.25">
      <c r="A122" s="80">
        <v>39661</v>
      </c>
      <c r="B122" s="30">
        <v>2595</v>
      </c>
      <c r="C122" s="30">
        <v>294</v>
      </c>
      <c r="D122" s="30">
        <v>3122</v>
      </c>
      <c r="E122" s="30">
        <v>646</v>
      </c>
      <c r="F122" s="2"/>
    </row>
    <row r="123" spans="1:6" x14ac:dyDescent="0.25">
      <c r="A123" s="80">
        <v>39692</v>
      </c>
      <c r="B123" s="30">
        <v>3770</v>
      </c>
      <c r="C123" s="30">
        <v>274</v>
      </c>
      <c r="D123" s="30">
        <v>3280</v>
      </c>
      <c r="E123" s="30">
        <v>342</v>
      </c>
      <c r="F123" s="2"/>
    </row>
    <row r="124" spans="1:6" x14ac:dyDescent="0.25">
      <c r="A124" s="80">
        <v>39722</v>
      </c>
      <c r="B124" s="30">
        <v>3407</v>
      </c>
      <c r="C124" s="30">
        <v>274</v>
      </c>
      <c r="D124" s="30">
        <v>3260</v>
      </c>
      <c r="E124" s="30">
        <v>264</v>
      </c>
      <c r="F124" s="2"/>
    </row>
    <row r="125" spans="1:6" x14ac:dyDescent="0.25">
      <c r="A125" s="80">
        <v>39753</v>
      </c>
      <c r="B125" s="30">
        <v>3542</v>
      </c>
      <c r="C125" s="30">
        <v>361</v>
      </c>
      <c r="D125" s="30">
        <v>3161</v>
      </c>
      <c r="E125" s="30">
        <v>567</v>
      </c>
      <c r="F125" s="2"/>
    </row>
    <row r="126" spans="1:6" x14ac:dyDescent="0.25">
      <c r="A126" s="80">
        <v>39783</v>
      </c>
      <c r="B126" s="30">
        <v>3780</v>
      </c>
      <c r="C126" s="30">
        <v>364</v>
      </c>
      <c r="D126" s="30">
        <v>3154</v>
      </c>
      <c r="E126" s="30">
        <v>348</v>
      </c>
      <c r="F126" s="2"/>
    </row>
    <row r="127" spans="1:6" x14ac:dyDescent="0.25">
      <c r="A127" s="80">
        <v>39814</v>
      </c>
      <c r="B127" s="30">
        <v>3619</v>
      </c>
      <c r="C127" s="30">
        <v>341</v>
      </c>
      <c r="D127" s="30">
        <v>2939</v>
      </c>
      <c r="E127" s="30">
        <f>251+55</f>
        <v>306</v>
      </c>
      <c r="F127" s="2"/>
    </row>
    <row r="128" spans="1:6" x14ac:dyDescent="0.25">
      <c r="A128" s="80">
        <v>39845</v>
      </c>
      <c r="B128" s="30">
        <v>3312</v>
      </c>
      <c r="C128" s="30">
        <v>254</v>
      </c>
      <c r="D128" s="30">
        <v>2803</v>
      </c>
      <c r="E128" s="30">
        <f>366+133</f>
        <v>499</v>
      </c>
      <c r="F128" s="2"/>
    </row>
    <row r="129" spans="1:6" x14ac:dyDescent="0.25">
      <c r="A129" s="80">
        <v>39873</v>
      </c>
      <c r="B129" s="30">
        <f>3460+10</f>
        <v>3470</v>
      </c>
      <c r="C129" s="30">
        <v>37</v>
      </c>
      <c r="D129" s="30">
        <f>3026+10</f>
        <v>3036</v>
      </c>
      <c r="E129" s="30">
        <f>419+1</f>
        <v>420</v>
      </c>
      <c r="F129" s="2"/>
    </row>
    <row r="130" spans="1:6" x14ac:dyDescent="0.25">
      <c r="A130" s="80">
        <v>39904</v>
      </c>
      <c r="B130" s="30">
        <f>3922+12</f>
        <v>3934</v>
      </c>
      <c r="C130" s="30">
        <v>249</v>
      </c>
      <c r="D130" s="30">
        <f>3091+9</f>
        <v>3100</v>
      </c>
      <c r="E130" s="30">
        <v>387</v>
      </c>
      <c r="F130" s="2"/>
    </row>
    <row r="131" spans="1:6" x14ac:dyDescent="0.25">
      <c r="A131" s="80">
        <v>39934</v>
      </c>
      <c r="B131" s="30">
        <f>3601+22</f>
        <v>3623</v>
      </c>
      <c r="C131" s="30">
        <v>32</v>
      </c>
      <c r="D131" s="30">
        <f>3093+8</f>
        <v>3101</v>
      </c>
      <c r="E131" s="30">
        <v>319</v>
      </c>
      <c r="F131" s="2"/>
    </row>
    <row r="132" spans="1:6" x14ac:dyDescent="0.25">
      <c r="A132" s="80">
        <v>39965</v>
      </c>
      <c r="B132" s="30">
        <f>4369+22</f>
        <v>4391</v>
      </c>
      <c r="C132" s="30">
        <f>305+4</f>
        <v>309</v>
      </c>
      <c r="D132" s="30">
        <f>3188+4</f>
        <v>3192</v>
      </c>
      <c r="E132" s="30">
        <f>426+4</f>
        <v>430</v>
      </c>
      <c r="F132" s="2"/>
    </row>
    <row r="133" spans="1:6" x14ac:dyDescent="0.25">
      <c r="A133" s="80">
        <v>39995</v>
      </c>
      <c r="B133" s="30">
        <f>4159</f>
        <v>4159</v>
      </c>
      <c r="C133" s="30">
        <v>358</v>
      </c>
      <c r="D133" s="30">
        <v>3322</v>
      </c>
      <c r="E133" s="30">
        <f>341+2</f>
        <v>343</v>
      </c>
      <c r="F133" s="2"/>
    </row>
    <row r="134" spans="1:6" x14ac:dyDescent="0.25">
      <c r="A134" s="80">
        <v>40026</v>
      </c>
      <c r="B134" s="30">
        <f>4712+20</f>
        <v>4732</v>
      </c>
      <c r="C134" s="30">
        <v>245</v>
      </c>
      <c r="D134" s="30">
        <f>3785+19</f>
        <v>3804</v>
      </c>
      <c r="E134" s="30">
        <f>522+8</f>
        <v>530</v>
      </c>
      <c r="F134" s="2"/>
    </row>
    <row r="135" spans="1:6" x14ac:dyDescent="0.25">
      <c r="A135" s="80">
        <v>40057</v>
      </c>
      <c r="B135" s="30">
        <v>3685</v>
      </c>
      <c r="C135" s="30">
        <v>275</v>
      </c>
      <c r="D135" s="30">
        <v>3121</v>
      </c>
      <c r="E135" s="30">
        <v>342</v>
      </c>
      <c r="F135" s="2"/>
    </row>
    <row r="136" spans="1:6" x14ac:dyDescent="0.25">
      <c r="A136" s="80">
        <v>40087</v>
      </c>
      <c r="B136" s="30">
        <v>3161</v>
      </c>
      <c r="C136" s="30">
        <v>304</v>
      </c>
      <c r="D136" s="30">
        <v>2757</v>
      </c>
      <c r="E136" s="30">
        <v>296</v>
      </c>
      <c r="F136" s="2"/>
    </row>
    <row r="137" spans="1:6" x14ac:dyDescent="0.25">
      <c r="A137" s="80">
        <v>40118</v>
      </c>
      <c r="B137" s="30">
        <v>2848</v>
      </c>
      <c r="C137" s="30">
        <v>300</v>
      </c>
      <c r="D137" s="30">
        <v>2696</v>
      </c>
      <c r="E137" s="30">
        <v>380</v>
      </c>
      <c r="F137" s="2"/>
    </row>
    <row r="138" spans="1:6" x14ac:dyDescent="0.25">
      <c r="A138" s="80">
        <v>40148</v>
      </c>
      <c r="B138" s="30">
        <v>2682</v>
      </c>
      <c r="C138" s="30">
        <v>230</v>
      </c>
      <c r="D138" s="30">
        <v>2129</v>
      </c>
      <c r="E138" s="30">
        <v>570</v>
      </c>
      <c r="F138" s="2"/>
    </row>
    <row r="139" spans="1:6" x14ac:dyDescent="0.25">
      <c r="A139" s="80">
        <v>40179</v>
      </c>
      <c r="B139" s="30">
        <f>2712+13</f>
        <v>2725</v>
      </c>
      <c r="C139" s="30">
        <v>258</v>
      </c>
      <c r="D139" s="30">
        <f>2352+7</f>
        <v>2359</v>
      </c>
      <c r="E139" s="30">
        <f>342+1</f>
        <v>343</v>
      </c>
      <c r="F139" s="2"/>
    </row>
    <row r="140" spans="1:6" x14ac:dyDescent="0.25">
      <c r="A140" s="80">
        <v>40210</v>
      </c>
      <c r="B140" s="30">
        <f>2257+11</f>
        <v>2268</v>
      </c>
      <c r="C140" s="30">
        <v>234</v>
      </c>
      <c r="D140" s="30">
        <f>2437+7</f>
        <v>2444</v>
      </c>
      <c r="E140" s="30">
        <f>455+1</f>
        <v>456</v>
      </c>
      <c r="F140" s="2"/>
    </row>
    <row r="141" spans="1:6" x14ac:dyDescent="0.25">
      <c r="A141" s="80">
        <v>40238</v>
      </c>
      <c r="B141" s="30">
        <f>2344+12</f>
        <v>2356</v>
      </c>
      <c r="C141" s="30">
        <f>360+1</f>
        <v>361</v>
      </c>
      <c r="D141" s="30">
        <f>2902+9</f>
        <v>2911</v>
      </c>
      <c r="E141" s="30">
        <f>380+1</f>
        <v>381</v>
      </c>
      <c r="F141" s="2"/>
    </row>
    <row r="142" spans="1:6" x14ac:dyDescent="0.25">
      <c r="A142" s="80">
        <v>40269</v>
      </c>
      <c r="B142" s="30">
        <f>2912+11</f>
        <v>2923</v>
      </c>
      <c r="C142" s="30">
        <v>280</v>
      </c>
      <c r="D142" s="30">
        <f>2504+8</f>
        <v>2512</v>
      </c>
      <c r="E142" s="30">
        <f>493+1</f>
        <v>494</v>
      </c>
      <c r="F142" s="2"/>
    </row>
    <row r="143" spans="1:6" x14ac:dyDescent="0.25">
      <c r="A143" s="80">
        <v>40299</v>
      </c>
      <c r="B143" s="30">
        <v>3066</v>
      </c>
      <c r="C143" s="30">
        <v>233</v>
      </c>
      <c r="D143" s="30">
        <v>2583</v>
      </c>
      <c r="E143" s="30">
        <v>438</v>
      </c>
      <c r="F143" s="2"/>
    </row>
    <row r="144" spans="1:6" x14ac:dyDescent="0.25">
      <c r="A144" s="80">
        <v>40330</v>
      </c>
      <c r="B144" s="30">
        <f>3023-25</f>
        <v>2998</v>
      </c>
      <c r="C144" s="30">
        <f>277-21</f>
        <v>256</v>
      </c>
      <c r="D144" s="30">
        <f>2657-48</f>
        <v>2609</v>
      </c>
      <c r="E144" s="30">
        <f>620-15</f>
        <v>605</v>
      </c>
      <c r="F144" s="2"/>
    </row>
    <row r="145" spans="1:6" x14ac:dyDescent="0.25">
      <c r="A145" s="80">
        <v>40360</v>
      </c>
      <c r="B145" s="30">
        <f>3844+19</f>
        <v>3863</v>
      </c>
      <c r="C145" s="30">
        <f>324+2</f>
        <v>326</v>
      </c>
      <c r="D145" s="30">
        <f>3186+3</f>
        <v>3189</v>
      </c>
      <c r="E145" s="30">
        <v>395</v>
      </c>
      <c r="F145" s="2"/>
    </row>
    <row r="146" spans="1:6" x14ac:dyDescent="0.25">
      <c r="A146" s="80">
        <v>40391</v>
      </c>
      <c r="B146" s="30">
        <f>5783+29</f>
        <v>5812</v>
      </c>
      <c r="C146" s="30">
        <f>351+1</f>
        <v>352</v>
      </c>
      <c r="D146" s="30">
        <v>4450</v>
      </c>
      <c r="E146" s="30">
        <f>633+3</f>
        <v>636</v>
      </c>
      <c r="F146" s="2"/>
    </row>
    <row r="147" spans="1:6" x14ac:dyDescent="0.25">
      <c r="A147" s="80">
        <v>40422</v>
      </c>
      <c r="B147" s="30">
        <f>3340+16</f>
        <v>3356</v>
      </c>
      <c r="C147" s="30">
        <f>288+2</f>
        <v>290</v>
      </c>
      <c r="D147" s="30">
        <f>2440+12</f>
        <v>2452</v>
      </c>
      <c r="E147" s="30">
        <v>228</v>
      </c>
      <c r="F147" s="2"/>
    </row>
    <row r="148" spans="1:6" x14ac:dyDescent="0.25">
      <c r="A148" s="80">
        <v>40452</v>
      </c>
      <c r="B148" s="30">
        <f>3352+16</f>
        <v>3368</v>
      </c>
      <c r="C148" s="30">
        <f>330+2+86</f>
        <v>418</v>
      </c>
      <c r="D148" s="30">
        <f>2262+11</f>
        <v>2273</v>
      </c>
      <c r="E148" s="30">
        <f>304+2+86</f>
        <v>392</v>
      </c>
      <c r="F148" s="2"/>
    </row>
    <row r="149" spans="1:6" x14ac:dyDescent="0.25">
      <c r="A149" s="80">
        <v>40483</v>
      </c>
      <c r="B149" s="30">
        <v>2556</v>
      </c>
      <c r="C149" s="30">
        <v>313</v>
      </c>
      <c r="D149" s="30">
        <v>1777</v>
      </c>
      <c r="E149" s="30">
        <v>490</v>
      </c>
      <c r="F149" s="2"/>
    </row>
    <row r="150" spans="1:6" x14ac:dyDescent="0.25">
      <c r="A150" s="80">
        <v>40513</v>
      </c>
      <c r="B150" s="30">
        <f>3538+26</f>
        <v>3564</v>
      </c>
      <c r="C150" s="30">
        <f>319+4</f>
        <v>323</v>
      </c>
      <c r="D150" s="30">
        <f>2185+11</f>
        <v>2196</v>
      </c>
      <c r="E150" s="30">
        <f>428+1+4</f>
        <v>433</v>
      </c>
      <c r="F150" s="2"/>
    </row>
    <row r="151" spans="1:6" x14ac:dyDescent="0.25">
      <c r="A151" s="80">
        <v>40544</v>
      </c>
      <c r="B151" s="30">
        <f>3136+16</f>
        <v>3152</v>
      </c>
      <c r="C151" s="30">
        <v>278</v>
      </c>
      <c r="D151" s="30">
        <f>2045+1</f>
        <v>2046</v>
      </c>
      <c r="E151" s="30">
        <f>341+1</f>
        <v>342</v>
      </c>
      <c r="F151" s="2"/>
    </row>
    <row r="152" spans="1:6" x14ac:dyDescent="0.25">
      <c r="A152" s="80">
        <v>40575</v>
      </c>
      <c r="B152" s="30">
        <f>2870+18</f>
        <v>2888</v>
      </c>
      <c r="C152" s="30">
        <f>275+3</f>
        <v>278</v>
      </c>
      <c r="D152" s="30">
        <f>2272-3</f>
        <v>2269</v>
      </c>
      <c r="E152" s="30">
        <f>264-2</f>
        <v>262</v>
      </c>
      <c r="F152" s="2"/>
    </row>
    <row r="153" spans="1:6" x14ac:dyDescent="0.25">
      <c r="A153" s="80">
        <v>40603</v>
      </c>
      <c r="B153" s="30">
        <f>2890+21</f>
        <v>2911</v>
      </c>
      <c r="C153" s="30">
        <f>208+1</f>
        <v>209</v>
      </c>
      <c r="D153" s="30">
        <f>2409+9</f>
        <v>2418</v>
      </c>
      <c r="E153" s="30">
        <f>263+8</f>
        <v>271</v>
      </c>
      <c r="F153" s="2"/>
    </row>
    <row r="154" spans="1:6" x14ac:dyDescent="0.25">
      <c r="A154" s="80">
        <v>40634</v>
      </c>
      <c r="B154" s="30">
        <f>3073+10</f>
        <v>3083</v>
      </c>
      <c r="C154" s="30">
        <f>214+0.03</f>
        <v>214.03</v>
      </c>
      <c r="D154" s="30">
        <f>2782+6</f>
        <v>2788</v>
      </c>
      <c r="E154" s="30">
        <f>339+1</f>
        <v>340</v>
      </c>
      <c r="F154" s="2"/>
    </row>
    <row r="155" spans="1:6" x14ac:dyDescent="0.25">
      <c r="A155" s="80">
        <v>40664</v>
      </c>
      <c r="B155" s="30">
        <f>2973+7</f>
        <v>2980</v>
      </c>
      <c r="C155" s="30">
        <f>135+2+0.25</f>
        <v>137.25</v>
      </c>
      <c r="D155" s="30">
        <f>3140+10</f>
        <v>3150</v>
      </c>
      <c r="E155" s="30">
        <f>631+0.25</f>
        <v>631.25</v>
      </c>
      <c r="F155" s="2"/>
    </row>
    <row r="156" spans="1:6" x14ac:dyDescent="0.25">
      <c r="A156" s="80">
        <v>40695</v>
      </c>
      <c r="B156" s="30">
        <f>3103+9</f>
        <v>3112</v>
      </c>
      <c r="C156" s="30">
        <f>87+0.3</f>
        <v>87.3</v>
      </c>
      <c r="D156" s="30">
        <f>2361+4</f>
        <v>2365</v>
      </c>
      <c r="E156" s="30">
        <v>493</v>
      </c>
      <c r="F156" s="2"/>
    </row>
    <row r="157" spans="1:6" x14ac:dyDescent="0.25">
      <c r="A157" s="80">
        <v>40725</v>
      </c>
      <c r="B157" s="30">
        <f>2945+7</f>
        <v>2952</v>
      </c>
      <c r="C157" s="30">
        <f>106+1</f>
        <v>107</v>
      </c>
      <c r="D157" s="30">
        <f>2586+0.2</f>
        <v>2586.1999999999998</v>
      </c>
      <c r="E157" s="30">
        <f>688+1</f>
        <v>689</v>
      </c>
      <c r="F157" s="2"/>
    </row>
    <row r="158" spans="1:6" x14ac:dyDescent="0.25">
      <c r="A158" s="80">
        <v>40756</v>
      </c>
      <c r="B158" s="30">
        <f>3259+3</f>
        <v>3262</v>
      </c>
      <c r="C158" s="30">
        <f>67+0.5</f>
        <v>67.5</v>
      </c>
      <c r="D158" s="30">
        <f>2738+2</f>
        <v>2740</v>
      </c>
      <c r="E158" s="30">
        <f>706+6</f>
        <v>712</v>
      </c>
      <c r="F158" s="2"/>
    </row>
    <row r="159" spans="1:6" x14ac:dyDescent="0.25">
      <c r="A159" s="80">
        <v>40787</v>
      </c>
      <c r="B159" s="30">
        <f>3293+5</f>
        <v>3298</v>
      </c>
      <c r="C159" s="30">
        <f>87+1</f>
        <v>88</v>
      </c>
      <c r="D159" s="30">
        <f>2677+11-8</f>
        <v>2680</v>
      </c>
      <c r="E159" s="30">
        <v>482</v>
      </c>
      <c r="F159" s="2"/>
    </row>
    <row r="160" spans="1:6" x14ac:dyDescent="0.25">
      <c r="A160" s="80">
        <v>40817</v>
      </c>
      <c r="B160" s="30">
        <f>3315+7-58</f>
        <v>3264</v>
      </c>
      <c r="C160" s="30">
        <f>60+0.6-6</f>
        <v>54.6</v>
      </c>
      <c r="D160" s="30">
        <f>3089+7-143</f>
        <v>2953</v>
      </c>
      <c r="E160" s="30">
        <f>315+0-11</f>
        <v>304</v>
      </c>
      <c r="F160" s="2"/>
    </row>
    <row r="161" spans="1:6" x14ac:dyDescent="0.25">
      <c r="A161" s="80">
        <v>40848</v>
      </c>
      <c r="B161" s="30">
        <f>2803+4-55</f>
        <v>2752</v>
      </c>
      <c r="C161" s="30">
        <f>8.4-0.1-1</f>
        <v>7.3000000000000007</v>
      </c>
      <c r="D161" s="30">
        <v>2290</v>
      </c>
      <c r="E161" s="30">
        <f>304+2+2</f>
        <v>308</v>
      </c>
      <c r="F161" s="2"/>
    </row>
    <row r="162" spans="1:6" x14ac:dyDescent="0.25">
      <c r="A162" s="80">
        <v>40878</v>
      </c>
      <c r="B162" s="30">
        <f>3728+3-72</f>
        <v>3659</v>
      </c>
      <c r="C162" s="30">
        <f>38+0.9</f>
        <v>38.9</v>
      </c>
      <c r="D162" s="30">
        <f>2612-52</f>
        <v>2560</v>
      </c>
      <c r="E162" s="30">
        <v>412</v>
      </c>
      <c r="F162" s="2"/>
    </row>
    <row r="163" spans="1:6" x14ac:dyDescent="0.25">
      <c r="A163" s="80">
        <v>40909</v>
      </c>
      <c r="B163" s="4">
        <f>2755+1</f>
        <v>2756</v>
      </c>
      <c r="C163" s="4">
        <v>0</v>
      </c>
      <c r="D163" s="4">
        <f>2264+5</f>
        <v>2269</v>
      </c>
      <c r="E163" s="4">
        <f>550+1</f>
        <v>551</v>
      </c>
      <c r="F163" s="2"/>
    </row>
    <row r="164" spans="1:6" x14ac:dyDescent="0.25">
      <c r="A164" s="80">
        <v>40940</v>
      </c>
      <c r="B164" s="4">
        <f>2716+5-78</f>
        <v>2643</v>
      </c>
      <c r="C164" s="4">
        <f>34-3</f>
        <v>31</v>
      </c>
      <c r="D164" s="4">
        <f>2139+5-38</f>
        <v>2106</v>
      </c>
      <c r="E164" s="4">
        <f>400+3</f>
        <v>403</v>
      </c>
      <c r="F164" s="2"/>
    </row>
    <row r="165" spans="1:6" x14ac:dyDescent="0.25">
      <c r="A165" s="80">
        <v>40969</v>
      </c>
      <c r="B165" s="4">
        <f>2473+6</f>
        <v>2479</v>
      </c>
      <c r="C165" s="4">
        <v>59</v>
      </c>
      <c r="D165" s="4">
        <f>2209+4</f>
        <v>2213</v>
      </c>
      <c r="E165" s="4">
        <v>302</v>
      </c>
      <c r="F165" s="2"/>
    </row>
    <row r="166" spans="1:6" x14ac:dyDescent="0.25">
      <c r="A166" s="80">
        <v>41000</v>
      </c>
      <c r="B166" s="4">
        <v>1964</v>
      </c>
      <c r="C166" s="4">
        <v>20</v>
      </c>
      <c r="D166" s="4">
        <f>1884</f>
        <v>1884</v>
      </c>
      <c r="E166" s="4">
        <v>377</v>
      </c>
      <c r="F166" s="2"/>
    </row>
    <row r="167" spans="1:6" x14ac:dyDescent="0.25">
      <c r="A167" s="80">
        <v>41030</v>
      </c>
      <c r="B167" s="4">
        <v>1517</v>
      </c>
      <c r="C167" s="4">
        <v>26</v>
      </c>
      <c r="D167" s="4">
        <v>1322</v>
      </c>
      <c r="E167" s="4">
        <v>293</v>
      </c>
      <c r="F167" s="2"/>
    </row>
    <row r="168" spans="1:6" x14ac:dyDescent="0.25">
      <c r="A168" s="80">
        <v>41061</v>
      </c>
      <c r="B168" s="4">
        <f>2823+1</f>
        <v>2824</v>
      </c>
      <c r="C168" s="4">
        <v>28</v>
      </c>
      <c r="D168" s="4">
        <f>1840-3</f>
        <v>1837</v>
      </c>
      <c r="E168" s="4">
        <f>361+3</f>
        <v>364</v>
      </c>
      <c r="F168" s="2"/>
    </row>
    <row r="169" spans="1:6" x14ac:dyDescent="0.25">
      <c r="A169" s="80">
        <v>41091</v>
      </c>
      <c r="B169" s="4">
        <f>2403+2</f>
        <v>2405</v>
      </c>
      <c r="C169" s="4">
        <v>34</v>
      </c>
      <c r="D169" s="4">
        <f>1751-3</f>
        <v>1748</v>
      </c>
      <c r="E169" s="4">
        <f>216-1</f>
        <v>215</v>
      </c>
      <c r="F169" s="2"/>
    </row>
    <row r="170" spans="1:6" x14ac:dyDescent="0.25">
      <c r="A170" s="80">
        <v>41122</v>
      </c>
      <c r="B170" s="4">
        <f>2721+1</f>
        <v>2722</v>
      </c>
      <c r="C170" s="4">
        <v>40</v>
      </c>
      <c r="D170" s="4">
        <f>1601+4</f>
        <v>1605</v>
      </c>
      <c r="E170" s="4">
        <v>188</v>
      </c>
      <c r="F170" s="2"/>
    </row>
    <row r="171" spans="1:6" x14ac:dyDescent="0.25">
      <c r="A171" s="80">
        <v>41153</v>
      </c>
      <c r="B171" s="4">
        <f>2945+1</f>
        <v>2946</v>
      </c>
      <c r="C171" s="4">
        <v>80</v>
      </c>
      <c r="D171" s="4">
        <f>2147+4</f>
        <v>2151</v>
      </c>
      <c r="E171" s="4">
        <v>263</v>
      </c>
      <c r="F171" s="2"/>
    </row>
    <row r="172" spans="1:6" x14ac:dyDescent="0.25">
      <c r="A172" s="80">
        <v>41183</v>
      </c>
      <c r="B172" s="4">
        <f>2884+4</f>
        <v>2888</v>
      </c>
      <c r="C172" s="4">
        <v>67</v>
      </c>
      <c r="D172" s="4">
        <f>1932+4</f>
        <v>1936</v>
      </c>
      <c r="E172" s="4">
        <f>227+2</f>
        <v>229</v>
      </c>
      <c r="F172" s="2"/>
    </row>
    <row r="173" spans="1:6" x14ac:dyDescent="0.25">
      <c r="A173" s="80">
        <v>41214</v>
      </c>
      <c r="B173" s="4">
        <f>3295+6</f>
        <v>3301</v>
      </c>
      <c r="C173" s="4">
        <v>58</v>
      </c>
      <c r="D173" s="4">
        <f>1996+3</f>
        <v>1999</v>
      </c>
      <c r="E173" s="4">
        <v>227</v>
      </c>
      <c r="F173" s="2"/>
    </row>
    <row r="174" spans="1:6" x14ac:dyDescent="0.25">
      <c r="A174" s="80">
        <v>41244</v>
      </c>
      <c r="B174" s="4">
        <f>3124+3-35</f>
        <v>3092</v>
      </c>
      <c r="C174" s="4">
        <v>67</v>
      </c>
      <c r="D174" s="4">
        <f>2057-5</f>
        <v>2052</v>
      </c>
      <c r="E174" s="4">
        <v>76</v>
      </c>
      <c r="F174" s="2"/>
    </row>
    <row r="175" spans="1:6" x14ac:dyDescent="0.25">
      <c r="A175" s="80">
        <v>41275</v>
      </c>
      <c r="B175" s="4">
        <f>2763+5</f>
        <v>2768</v>
      </c>
      <c r="C175" s="4">
        <v>30</v>
      </c>
      <c r="D175" s="4">
        <v>1207</v>
      </c>
      <c r="E175" s="4">
        <v>189</v>
      </c>
      <c r="F175" s="2"/>
    </row>
    <row r="176" spans="1:6" x14ac:dyDescent="0.25">
      <c r="A176" s="80">
        <v>41306</v>
      </c>
      <c r="B176" s="4">
        <f>1613+5</f>
        <v>1618</v>
      </c>
      <c r="C176" s="4">
        <v>48</v>
      </c>
      <c r="D176" s="4">
        <v>1657</v>
      </c>
      <c r="E176" s="4">
        <v>190</v>
      </c>
      <c r="F176" s="2"/>
    </row>
    <row r="177" spans="1:6" x14ac:dyDescent="0.25">
      <c r="A177" s="80">
        <v>41334</v>
      </c>
      <c r="B177" s="4">
        <f>2504+3</f>
        <v>2507</v>
      </c>
      <c r="C177" s="4">
        <v>0</v>
      </c>
      <c r="D177" s="4">
        <v>2156</v>
      </c>
      <c r="E177" s="4">
        <v>179</v>
      </c>
      <c r="F177" s="2"/>
    </row>
    <row r="178" spans="1:6" x14ac:dyDescent="0.25">
      <c r="A178" s="80">
        <v>41365</v>
      </c>
      <c r="B178" s="4">
        <f>1166+10</f>
        <v>1176</v>
      </c>
      <c r="C178" s="4">
        <v>55</v>
      </c>
      <c r="D178" s="4">
        <v>1037</v>
      </c>
      <c r="E178" s="4">
        <f>301+2</f>
        <v>303</v>
      </c>
      <c r="F178" s="2"/>
    </row>
    <row r="179" spans="1:6" x14ac:dyDescent="0.25">
      <c r="A179" s="80">
        <v>41395</v>
      </c>
      <c r="B179" s="4">
        <f>432+7</f>
        <v>439</v>
      </c>
      <c r="C179" s="4">
        <v>27</v>
      </c>
      <c r="D179" s="4">
        <v>716</v>
      </c>
      <c r="E179" s="4">
        <v>108</v>
      </c>
      <c r="F179" s="2"/>
    </row>
    <row r="180" spans="1:6" x14ac:dyDescent="0.25">
      <c r="A180" s="80">
        <v>41426</v>
      </c>
      <c r="B180" s="4">
        <f>1044+2</f>
        <v>1046</v>
      </c>
      <c r="C180" s="4">
        <v>39</v>
      </c>
      <c r="D180" s="4">
        <f>743+2</f>
        <v>745</v>
      </c>
      <c r="E180" s="4">
        <v>189</v>
      </c>
      <c r="F180" s="2"/>
    </row>
    <row r="181" spans="1:6" x14ac:dyDescent="0.25">
      <c r="A181" s="80">
        <v>41456</v>
      </c>
      <c r="B181" s="4">
        <f>1498+2</f>
        <v>1500</v>
      </c>
      <c r="C181" s="4">
        <v>16</v>
      </c>
      <c r="D181" s="4">
        <f>1288-2</f>
        <v>1286</v>
      </c>
      <c r="E181" s="4">
        <v>229</v>
      </c>
      <c r="F181" s="2"/>
    </row>
    <row r="182" spans="1:6" x14ac:dyDescent="0.25">
      <c r="A182" s="80">
        <v>41487</v>
      </c>
      <c r="B182" s="4">
        <f>2283+7</f>
        <v>2290</v>
      </c>
      <c r="C182" s="4">
        <v>40</v>
      </c>
      <c r="D182" s="4">
        <f>1998-5</f>
        <v>1993</v>
      </c>
      <c r="E182" s="4">
        <v>102</v>
      </c>
      <c r="F182" s="2"/>
    </row>
    <row r="183" spans="1:6" x14ac:dyDescent="0.25">
      <c r="A183" s="80">
        <v>41518</v>
      </c>
      <c r="B183" s="4">
        <f>2790-1</f>
        <v>2789</v>
      </c>
      <c r="C183" s="4">
        <v>3</v>
      </c>
      <c r="D183" s="4">
        <f>2466-5</f>
        <v>2461</v>
      </c>
      <c r="E183" s="4">
        <f>179-1</f>
        <v>178</v>
      </c>
    </row>
    <row r="184" spans="1:6" x14ac:dyDescent="0.25">
      <c r="A184" s="80">
        <v>41548</v>
      </c>
      <c r="B184" s="4">
        <f>1915+9</f>
        <v>1924</v>
      </c>
      <c r="C184" s="4">
        <v>28</v>
      </c>
      <c r="D184" s="4">
        <f>1695-4</f>
        <v>1691</v>
      </c>
      <c r="E184" s="4">
        <v>113</v>
      </c>
    </row>
    <row r="185" spans="1:6" x14ac:dyDescent="0.25">
      <c r="A185" s="80">
        <v>41579</v>
      </c>
      <c r="B185" s="4">
        <f>2823+8</f>
        <v>2831</v>
      </c>
      <c r="C185" s="4">
        <v>5</v>
      </c>
      <c r="D185" s="4">
        <f>2180-4</f>
        <v>2176</v>
      </c>
      <c r="E185" s="4">
        <v>110</v>
      </c>
    </row>
    <row r="186" spans="1:6" x14ac:dyDescent="0.25">
      <c r="A186" s="80">
        <v>41609</v>
      </c>
      <c r="B186" s="4">
        <f>2446+8</f>
        <v>2454</v>
      </c>
      <c r="C186" s="4">
        <v>45</v>
      </c>
      <c r="D186" s="4">
        <f>2360-2</f>
        <v>2358</v>
      </c>
      <c r="E186" s="4">
        <v>76</v>
      </c>
    </row>
    <row r="187" spans="1:6" x14ac:dyDescent="0.25">
      <c r="A187" s="80">
        <v>41640</v>
      </c>
      <c r="B187" s="4">
        <f>2441+11-40</f>
        <v>2412</v>
      </c>
      <c r="C187" s="4">
        <f>19+1</f>
        <v>20</v>
      </c>
      <c r="D187" s="4">
        <f>1881-3</f>
        <v>1878</v>
      </c>
      <c r="E187" s="4">
        <f>113+1</f>
        <v>114</v>
      </c>
    </row>
    <row r="188" spans="1:6" x14ac:dyDescent="0.25">
      <c r="A188" s="80">
        <v>41671</v>
      </c>
      <c r="B188" s="4">
        <f>1924+14</f>
        <v>1938</v>
      </c>
      <c r="C188" s="4">
        <f>17+1</f>
        <v>18</v>
      </c>
      <c r="D188" s="4">
        <v>1527</v>
      </c>
      <c r="E188" s="4">
        <v>186</v>
      </c>
    </row>
    <row r="189" spans="1:6" x14ac:dyDescent="0.25">
      <c r="A189" s="80">
        <v>41699</v>
      </c>
      <c r="B189" s="4">
        <f>3226+15</f>
        <v>3241</v>
      </c>
      <c r="C189" s="4">
        <f>34+1</f>
        <v>35</v>
      </c>
      <c r="D189" s="4">
        <v>2673</v>
      </c>
      <c r="E189" s="4">
        <f>151+3</f>
        <v>154</v>
      </c>
    </row>
    <row r="190" spans="1:6" x14ac:dyDescent="0.25">
      <c r="A190" s="80">
        <v>41730</v>
      </c>
      <c r="B190" s="4">
        <f>3180+13</f>
        <v>3193</v>
      </c>
      <c r="C190" s="4">
        <f>42-2</f>
        <v>40</v>
      </c>
      <c r="D190" s="4">
        <f>3540-4</f>
        <v>3536</v>
      </c>
      <c r="E190" s="4">
        <f>75-3</f>
        <v>72</v>
      </c>
    </row>
    <row r="191" spans="1:6" x14ac:dyDescent="0.25">
      <c r="A191" s="80">
        <v>41760</v>
      </c>
      <c r="B191" s="4">
        <f>3255+8</f>
        <v>3263</v>
      </c>
      <c r="C191" s="4">
        <f>19+1</f>
        <v>20</v>
      </c>
      <c r="D191" s="4">
        <f>2896+4</f>
        <v>2900</v>
      </c>
      <c r="E191" s="4">
        <v>226</v>
      </c>
    </row>
    <row r="192" spans="1:6" x14ac:dyDescent="0.25">
      <c r="A192" s="80">
        <v>41791</v>
      </c>
      <c r="B192" s="4">
        <f>3288+5-4</f>
        <v>3289</v>
      </c>
      <c r="C192" s="4">
        <v>26</v>
      </c>
      <c r="D192" s="4">
        <v>3771</v>
      </c>
      <c r="E192" s="4">
        <f>301-2</f>
        <v>299</v>
      </c>
    </row>
    <row r="193" spans="1:5" x14ac:dyDescent="0.25">
      <c r="A193" s="80">
        <v>41821</v>
      </c>
      <c r="B193" s="4">
        <f>2178+14-208</f>
        <v>1984</v>
      </c>
      <c r="C193" s="4">
        <v>48</v>
      </c>
      <c r="D193" s="4">
        <f>3384+3</f>
        <v>3387</v>
      </c>
      <c r="E193" s="4">
        <f>465+2</f>
        <v>467</v>
      </c>
    </row>
    <row r="194" spans="1:5" x14ac:dyDescent="0.25">
      <c r="A194" s="80">
        <v>41852</v>
      </c>
      <c r="B194" s="4">
        <f>4271+2-165</f>
        <v>4108</v>
      </c>
      <c r="C194" s="4">
        <v>42</v>
      </c>
      <c r="D194" s="4">
        <f>4269</f>
        <v>4269</v>
      </c>
      <c r="E194" s="4">
        <f>226+1</f>
        <v>227</v>
      </c>
    </row>
    <row r="195" spans="1:5" x14ac:dyDescent="0.25">
      <c r="A195" s="80">
        <v>41883</v>
      </c>
      <c r="B195" s="4">
        <f>2696+8-243</f>
        <v>2461</v>
      </c>
      <c r="C195" s="4">
        <v>34</v>
      </c>
      <c r="D195" s="4">
        <f>4709-1</f>
        <v>4708</v>
      </c>
      <c r="E195" s="4">
        <f>490+2</f>
        <v>492</v>
      </c>
    </row>
    <row r="196" spans="1:5" x14ac:dyDescent="0.25">
      <c r="A196" s="80">
        <v>41913</v>
      </c>
      <c r="B196" s="4">
        <f>3547+1</f>
        <v>3548</v>
      </c>
      <c r="C196" s="4">
        <v>29</v>
      </c>
      <c r="D196" s="4">
        <v>5536</v>
      </c>
      <c r="E196" s="4">
        <f>658+1</f>
        <v>659</v>
      </c>
    </row>
    <row r="197" spans="1:5" x14ac:dyDescent="0.25">
      <c r="A197" s="80">
        <v>41944</v>
      </c>
      <c r="B197" s="4">
        <f>3421+1</f>
        <v>3422</v>
      </c>
      <c r="C197" s="4">
        <v>23</v>
      </c>
      <c r="D197" s="4">
        <f>6277-4</f>
        <v>6273</v>
      </c>
      <c r="E197" s="4">
        <f>566+1</f>
        <v>567</v>
      </c>
    </row>
    <row r="198" spans="1:5" x14ac:dyDescent="0.25">
      <c r="A198" s="80">
        <v>41974</v>
      </c>
      <c r="B198" s="4">
        <f>4219+2</f>
        <v>4221</v>
      </c>
      <c r="C198" s="4">
        <v>16</v>
      </c>
      <c r="D198" s="4">
        <f>6740-17</f>
        <v>6723</v>
      </c>
      <c r="E198" s="4">
        <f>188+1</f>
        <v>189</v>
      </c>
    </row>
    <row r="199" spans="1:5" x14ac:dyDescent="0.25">
      <c r="A199" s="80">
        <v>42005</v>
      </c>
      <c r="B199" s="4">
        <v>2756</v>
      </c>
      <c r="C199" s="4">
        <v>0</v>
      </c>
      <c r="D199" s="4">
        <v>2269</v>
      </c>
      <c r="E199" s="4">
        <v>551</v>
      </c>
    </row>
    <row r="200" spans="1:5" x14ac:dyDescent="0.25">
      <c r="A200" s="80">
        <v>42036</v>
      </c>
      <c r="B200" s="4">
        <v>2643</v>
      </c>
      <c r="C200" s="4">
        <v>31</v>
      </c>
      <c r="D200" s="4">
        <v>2106</v>
      </c>
      <c r="E200" s="4">
        <v>403</v>
      </c>
    </row>
    <row r="201" spans="1:5" x14ac:dyDescent="0.25">
      <c r="A201" s="80">
        <v>42064</v>
      </c>
      <c r="B201" s="4">
        <v>2479</v>
      </c>
      <c r="C201" s="4">
        <v>59</v>
      </c>
      <c r="D201" s="4">
        <v>2213</v>
      </c>
      <c r="E201" s="4">
        <v>302</v>
      </c>
    </row>
    <row r="202" spans="1:5" x14ac:dyDescent="0.25">
      <c r="A202" s="80">
        <v>42095</v>
      </c>
      <c r="B202" s="4">
        <v>1964</v>
      </c>
      <c r="C202" s="4">
        <v>20</v>
      </c>
      <c r="D202" s="4">
        <v>1884</v>
      </c>
      <c r="E202" s="4">
        <v>377</v>
      </c>
    </row>
    <row r="203" spans="1:5" x14ac:dyDescent="0.25">
      <c r="A203" s="80">
        <v>42125</v>
      </c>
      <c r="B203" s="4">
        <v>1517</v>
      </c>
      <c r="C203" s="4">
        <v>26</v>
      </c>
      <c r="D203" s="4">
        <v>1322</v>
      </c>
      <c r="E203" s="4">
        <v>293</v>
      </c>
    </row>
    <row r="204" spans="1:5" x14ac:dyDescent="0.25">
      <c r="A204" s="80">
        <v>42156</v>
      </c>
      <c r="B204" s="4">
        <v>2824</v>
      </c>
      <c r="C204" s="4">
        <v>28</v>
      </c>
      <c r="D204" s="4">
        <v>1837</v>
      </c>
      <c r="E204" s="4">
        <v>364</v>
      </c>
    </row>
    <row r="205" spans="1:5" x14ac:dyDescent="0.25">
      <c r="A205" s="80">
        <v>42186</v>
      </c>
      <c r="B205" s="4">
        <v>2405</v>
      </c>
      <c r="C205" s="4">
        <v>34</v>
      </c>
      <c r="D205" s="4">
        <v>1748</v>
      </c>
      <c r="E205" s="4">
        <v>215</v>
      </c>
    </row>
    <row r="206" spans="1:5" x14ac:dyDescent="0.25">
      <c r="A206" s="80">
        <v>42217</v>
      </c>
      <c r="B206" s="4">
        <v>2722</v>
      </c>
      <c r="C206" s="4">
        <v>40</v>
      </c>
      <c r="D206" s="4">
        <v>1605</v>
      </c>
      <c r="E206" s="4">
        <v>188</v>
      </c>
    </row>
    <row r="207" spans="1:5" x14ac:dyDescent="0.25">
      <c r="A207" s="80">
        <v>42248</v>
      </c>
      <c r="B207" s="4">
        <v>2946</v>
      </c>
      <c r="C207" s="4">
        <v>80</v>
      </c>
      <c r="D207" s="4">
        <v>2151</v>
      </c>
      <c r="E207" s="4">
        <v>263</v>
      </c>
    </row>
    <row r="208" spans="1:5" x14ac:dyDescent="0.25">
      <c r="A208" s="80">
        <v>42278</v>
      </c>
      <c r="B208" s="4">
        <v>2888</v>
      </c>
      <c r="C208" s="4">
        <v>67</v>
      </c>
      <c r="D208" s="4">
        <v>1936</v>
      </c>
      <c r="E208" s="4">
        <v>229</v>
      </c>
    </row>
    <row r="209" spans="1:5" x14ac:dyDescent="0.25">
      <c r="A209" s="80">
        <v>42309</v>
      </c>
      <c r="B209" s="4">
        <v>3301</v>
      </c>
      <c r="C209" s="4">
        <v>58</v>
      </c>
      <c r="D209" s="4">
        <v>1999</v>
      </c>
      <c r="E209" s="4">
        <v>227</v>
      </c>
    </row>
    <row r="210" spans="1:5" x14ac:dyDescent="0.25">
      <c r="A210" s="80">
        <v>42339</v>
      </c>
      <c r="B210" s="4">
        <v>3092</v>
      </c>
      <c r="C210" s="4">
        <v>67</v>
      </c>
      <c r="D210" s="4">
        <v>2052</v>
      </c>
      <c r="E210" s="4">
        <v>76</v>
      </c>
    </row>
    <row r="211" spans="1:5" x14ac:dyDescent="0.25">
      <c r="A211" s="80">
        <v>42370</v>
      </c>
      <c r="B211" s="4">
        <v>2768</v>
      </c>
      <c r="C211" s="4">
        <v>30</v>
      </c>
      <c r="D211" s="4">
        <v>1207</v>
      </c>
      <c r="E211" s="4">
        <v>189</v>
      </c>
    </row>
    <row r="212" spans="1:5" x14ac:dyDescent="0.25">
      <c r="A212" s="80">
        <v>42401</v>
      </c>
      <c r="B212" s="4">
        <v>1618</v>
      </c>
      <c r="C212" s="4">
        <v>48</v>
      </c>
      <c r="D212" s="4">
        <v>1657</v>
      </c>
      <c r="E212" s="4">
        <v>190</v>
      </c>
    </row>
    <row r="213" spans="1:5" x14ac:dyDescent="0.25">
      <c r="A213" s="80">
        <v>42430</v>
      </c>
      <c r="B213" s="4">
        <v>2507</v>
      </c>
      <c r="C213" s="4">
        <v>0</v>
      </c>
      <c r="D213" s="4">
        <v>2156</v>
      </c>
      <c r="E213" s="4">
        <v>179</v>
      </c>
    </row>
    <row r="214" spans="1:5" x14ac:dyDescent="0.25">
      <c r="A214" s="80">
        <v>42461</v>
      </c>
      <c r="B214" s="4">
        <v>1176</v>
      </c>
      <c r="C214" s="4">
        <v>55</v>
      </c>
      <c r="D214" s="4">
        <v>1037</v>
      </c>
      <c r="E214" s="4">
        <v>303</v>
      </c>
    </row>
    <row r="215" spans="1:5" x14ac:dyDescent="0.25">
      <c r="A215" s="80">
        <v>42491</v>
      </c>
      <c r="B215" s="4">
        <v>439</v>
      </c>
      <c r="C215" s="4">
        <v>27</v>
      </c>
      <c r="D215" s="4">
        <v>716</v>
      </c>
      <c r="E215" s="4">
        <v>108</v>
      </c>
    </row>
    <row r="216" spans="1:5" x14ac:dyDescent="0.25">
      <c r="A216" s="80">
        <v>42522</v>
      </c>
      <c r="B216" s="4">
        <v>1046</v>
      </c>
      <c r="C216" s="4">
        <v>39</v>
      </c>
      <c r="D216" s="4">
        <v>745</v>
      </c>
      <c r="E216" s="4">
        <v>189</v>
      </c>
    </row>
    <row r="217" spans="1:5" x14ac:dyDescent="0.25">
      <c r="A217" s="80">
        <v>42552</v>
      </c>
      <c r="B217" s="4">
        <v>1500</v>
      </c>
      <c r="C217" s="4">
        <v>16</v>
      </c>
      <c r="D217" s="4">
        <v>1286</v>
      </c>
      <c r="E217" s="4">
        <v>229</v>
      </c>
    </row>
    <row r="218" spans="1:5" x14ac:dyDescent="0.25">
      <c r="A218" s="80">
        <v>42583</v>
      </c>
      <c r="B218" s="4">
        <v>2290</v>
      </c>
      <c r="C218" s="4">
        <v>40</v>
      </c>
      <c r="D218" s="4">
        <v>1993</v>
      </c>
      <c r="E218" s="4">
        <v>102</v>
      </c>
    </row>
    <row r="219" spans="1:5" x14ac:dyDescent="0.25">
      <c r="A219" s="80">
        <v>42614</v>
      </c>
      <c r="B219" s="4">
        <v>2789</v>
      </c>
      <c r="C219" s="4">
        <v>3</v>
      </c>
      <c r="D219" s="4">
        <v>2461</v>
      </c>
      <c r="E219" s="4">
        <v>178</v>
      </c>
    </row>
    <row r="220" spans="1:5" x14ac:dyDescent="0.25">
      <c r="A220" s="80">
        <v>42644</v>
      </c>
      <c r="B220" s="4">
        <v>1924</v>
      </c>
      <c r="C220" s="4">
        <v>28</v>
      </c>
      <c r="D220" s="4">
        <v>1691</v>
      </c>
      <c r="E220" s="4">
        <v>113</v>
      </c>
    </row>
    <row r="221" spans="1:5" x14ac:dyDescent="0.25">
      <c r="A221" s="80">
        <v>42675</v>
      </c>
      <c r="B221" s="4">
        <v>2831</v>
      </c>
      <c r="C221" s="4">
        <v>5</v>
      </c>
      <c r="D221" s="4">
        <v>2176</v>
      </c>
      <c r="E221" s="4">
        <v>110</v>
      </c>
    </row>
    <row r="222" spans="1:5" x14ac:dyDescent="0.25">
      <c r="A222" s="80">
        <v>42705</v>
      </c>
      <c r="B222" s="4">
        <v>2454</v>
      </c>
      <c r="C222" s="4">
        <v>45</v>
      </c>
      <c r="D222" s="4">
        <v>2358</v>
      </c>
      <c r="E222" s="4">
        <v>76</v>
      </c>
    </row>
    <row r="223" spans="1:5" x14ac:dyDescent="0.25">
      <c r="A223" s="80">
        <v>42736</v>
      </c>
      <c r="B223" s="4">
        <v>2412</v>
      </c>
      <c r="C223" s="4">
        <v>20</v>
      </c>
      <c r="D223" s="4">
        <v>1878</v>
      </c>
      <c r="E223" s="4">
        <v>114</v>
      </c>
    </row>
    <row r="224" spans="1:5" x14ac:dyDescent="0.25">
      <c r="A224" s="80">
        <v>42767</v>
      </c>
      <c r="B224" s="4">
        <v>1938</v>
      </c>
      <c r="C224" s="4">
        <v>18</v>
      </c>
      <c r="D224" s="4">
        <v>1527</v>
      </c>
      <c r="E224" s="4">
        <v>186</v>
      </c>
    </row>
    <row r="225" spans="1:5" x14ac:dyDescent="0.25">
      <c r="A225" s="80">
        <v>42795</v>
      </c>
      <c r="B225" s="4">
        <v>3241</v>
      </c>
      <c r="C225" s="4">
        <v>35</v>
      </c>
      <c r="D225" s="4">
        <v>2673</v>
      </c>
      <c r="E225" s="4">
        <v>154</v>
      </c>
    </row>
    <row r="226" spans="1:5" x14ac:dyDescent="0.25">
      <c r="A226" s="80">
        <v>42826</v>
      </c>
      <c r="B226" s="4">
        <v>3193</v>
      </c>
      <c r="C226" s="4">
        <v>40</v>
      </c>
      <c r="D226" s="4">
        <v>3536</v>
      </c>
      <c r="E226" s="4">
        <v>72</v>
      </c>
    </row>
    <row r="227" spans="1:5" x14ac:dyDescent="0.25">
      <c r="A227" s="80">
        <v>42856</v>
      </c>
      <c r="B227" s="4">
        <v>3263</v>
      </c>
      <c r="C227" s="4">
        <v>20</v>
      </c>
      <c r="D227" s="4">
        <v>2900</v>
      </c>
      <c r="E227" s="4">
        <v>226</v>
      </c>
    </row>
    <row r="228" spans="1:5" x14ac:dyDescent="0.25">
      <c r="A228" s="80">
        <v>42887</v>
      </c>
      <c r="B228" s="4">
        <v>3289</v>
      </c>
      <c r="C228" s="4">
        <v>26</v>
      </c>
      <c r="D228" s="4">
        <v>3771</v>
      </c>
      <c r="E228" s="4">
        <v>299</v>
      </c>
    </row>
    <row r="229" spans="1:5" x14ac:dyDescent="0.25">
      <c r="A229" s="80">
        <v>42917</v>
      </c>
      <c r="B229" s="4">
        <v>1984</v>
      </c>
      <c r="C229" s="4">
        <v>48</v>
      </c>
      <c r="D229" s="4">
        <v>3387</v>
      </c>
      <c r="E229" s="4">
        <v>467</v>
      </c>
    </row>
    <row r="230" spans="1:5" x14ac:dyDescent="0.25">
      <c r="A230" s="80">
        <v>42948</v>
      </c>
      <c r="B230" s="4">
        <v>4108</v>
      </c>
      <c r="C230" s="4">
        <v>42</v>
      </c>
      <c r="D230" s="4">
        <v>4269</v>
      </c>
      <c r="E230" s="4">
        <v>227</v>
      </c>
    </row>
    <row r="231" spans="1:5" x14ac:dyDescent="0.25">
      <c r="A231" s="80">
        <v>42979</v>
      </c>
      <c r="B231" s="4">
        <v>2461</v>
      </c>
      <c r="C231" s="4">
        <v>34</v>
      </c>
      <c r="D231" s="4">
        <v>4708</v>
      </c>
      <c r="E231" s="4">
        <v>492</v>
      </c>
    </row>
    <row r="232" spans="1:5" x14ac:dyDescent="0.25">
      <c r="A232" s="80">
        <v>43009</v>
      </c>
      <c r="B232" s="4">
        <v>3548</v>
      </c>
      <c r="C232" s="4">
        <v>29</v>
      </c>
      <c r="D232" s="4">
        <v>5536</v>
      </c>
      <c r="E232" s="4">
        <v>659</v>
      </c>
    </row>
    <row r="233" spans="1:5" x14ac:dyDescent="0.25">
      <c r="A233" s="80">
        <v>43040</v>
      </c>
      <c r="B233" s="4">
        <v>3422</v>
      </c>
      <c r="C233" s="4">
        <v>23</v>
      </c>
      <c r="D233" s="4">
        <v>6273</v>
      </c>
      <c r="E233" s="4">
        <v>567</v>
      </c>
    </row>
    <row r="234" spans="1:5" x14ac:dyDescent="0.25">
      <c r="A234" s="80">
        <v>43070</v>
      </c>
      <c r="B234" s="4">
        <v>4221</v>
      </c>
      <c r="C234" s="4">
        <v>16</v>
      </c>
      <c r="D234" s="4">
        <v>6723</v>
      </c>
      <c r="E234" s="4">
        <v>189</v>
      </c>
    </row>
    <row r="235" spans="1:5" x14ac:dyDescent="0.25">
      <c r="A235" s="80">
        <v>43101</v>
      </c>
      <c r="B235" s="4">
        <v>3965</v>
      </c>
      <c r="C235" s="4">
        <v>58</v>
      </c>
      <c r="D235" s="4">
        <v>5475</v>
      </c>
      <c r="E235" s="4">
        <v>188</v>
      </c>
    </row>
    <row r="236" spans="1:5" x14ac:dyDescent="0.25">
      <c r="A236" s="80">
        <v>43132</v>
      </c>
      <c r="B236" s="4">
        <v>4094</v>
      </c>
      <c r="C236" s="4">
        <v>27</v>
      </c>
      <c r="D236" s="4">
        <v>5489</v>
      </c>
      <c r="E236" s="4">
        <v>263</v>
      </c>
    </row>
    <row r="237" spans="1:5" x14ac:dyDescent="0.25">
      <c r="A237" s="80">
        <v>43160</v>
      </c>
      <c r="B237" s="4">
        <v>4007</v>
      </c>
      <c r="C237" s="4">
        <v>26</v>
      </c>
      <c r="D237" s="4">
        <v>5982</v>
      </c>
      <c r="E237" s="4">
        <v>454</v>
      </c>
    </row>
    <row r="238" spans="1:5" x14ac:dyDescent="0.25">
      <c r="A238" s="80">
        <v>43191</v>
      </c>
      <c r="B238" s="4">
        <v>4630</v>
      </c>
      <c r="C238" s="4">
        <v>32</v>
      </c>
      <c r="D238" s="4">
        <v>6062</v>
      </c>
      <c r="E238" s="4">
        <v>415</v>
      </c>
    </row>
    <row r="239" spans="1:5" x14ac:dyDescent="0.25">
      <c r="A239" s="80">
        <v>43221</v>
      </c>
      <c r="B239" s="4">
        <v>5574</v>
      </c>
      <c r="C239" s="4">
        <v>20</v>
      </c>
      <c r="D239" s="4">
        <v>5892</v>
      </c>
      <c r="E239" s="4">
        <v>520</v>
      </c>
    </row>
    <row r="240" spans="1:5" x14ac:dyDescent="0.25">
      <c r="A240" s="80">
        <v>43252</v>
      </c>
      <c r="B240" s="4">
        <v>5309</v>
      </c>
      <c r="C240" s="4">
        <v>23</v>
      </c>
      <c r="D240" s="4">
        <v>7048</v>
      </c>
      <c r="E240" s="4">
        <v>263</v>
      </c>
    </row>
    <row r="241" spans="1:5" x14ac:dyDescent="0.25">
      <c r="A241" s="80">
        <v>43282</v>
      </c>
      <c r="B241" s="4">
        <v>4490</v>
      </c>
      <c r="C241" s="4">
        <v>24</v>
      </c>
      <c r="D241" s="4">
        <v>6433</v>
      </c>
      <c r="E241" s="4">
        <v>415</v>
      </c>
    </row>
    <row r="242" spans="1:5" x14ac:dyDescent="0.25">
      <c r="A242" s="80">
        <v>43313</v>
      </c>
      <c r="B242" s="4">
        <v>4048</v>
      </c>
      <c r="C242" s="4">
        <v>27</v>
      </c>
      <c r="D242" s="4">
        <v>5464</v>
      </c>
      <c r="E242" s="4">
        <v>526</v>
      </c>
    </row>
    <row r="243" spans="1:5" x14ac:dyDescent="0.25">
      <c r="A243" s="80">
        <v>43344</v>
      </c>
      <c r="B243" s="4">
        <v>4165</v>
      </c>
      <c r="C243" s="4">
        <v>27</v>
      </c>
      <c r="D243" s="4">
        <v>6313</v>
      </c>
      <c r="E243" s="4">
        <v>450</v>
      </c>
    </row>
    <row r="244" spans="1:5" x14ac:dyDescent="0.25">
      <c r="A244" s="80">
        <v>43374</v>
      </c>
      <c r="B244" s="4">
        <v>3910</v>
      </c>
      <c r="C244" s="4">
        <v>15</v>
      </c>
      <c r="D244" s="4">
        <v>5643</v>
      </c>
      <c r="E244" s="4">
        <v>275</v>
      </c>
    </row>
    <row r="245" spans="1:5" x14ac:dyDescent="0.25">
      <c r="A245" s="80">
        <v>43405</v>
      </c>
      <c r="B245" s="4">
        <v>3793</v>
      </c>
      <c r="C245" s="4">
        <v>2</v>
      </c>
      <c r="D245" s="4">
        <v>4187</v>
      </c>
      <c r="E245" s="4">
        <v>711</v>
      </c>
    </row>
    <row r="246" spans="1:5" x14ac:dyDescent="0.25">
      <c r="A246" s="80">
        <v>43435</v>
      </c>
      <c r="B246" s="4">
        <v>5069</v>
      </c>
      <c r="C246" s="4">
        <v>6</v>
      </c>
      <c r="D246" s="4">
        <v>5715</v>
      </c>
      <c r="E246" s="4">
        <v>261</v>
      </c>
    </row>
    <row r="247" spans="1:5" x14ac:dyDescent="0.25">
      <c r="A247" s="80">
        <v>43466</v>
      </c>
      <c r="B247" s="4">
        <v>5047</v>
      </c>
      <c r="C247" s="4">
        <v>7</v>
      </c>
      <c r="D247" s="4">
        <v>6082</v>
      </c>
      <c r="E247" s="4">
        <v>296</v>
      </c>
    </row>
    <row r="248" spans="1:5" x14ac:dyDescent="0.25">
      <c r="A248" s="80">
        <v>43497</v>
      </c>
      <c r="B248" s="4">
        <v>3497</v>
      </c>
      <c r="C248" s="4">
        <v>13</v>
      </c>
      <c r="D248" s="4">
        <v>4931</v>
      </c>
      <c r="E248" s="4">
        <v>228</v>
      </c>
    </row>
    <row r="249" spans="1:5" x14ac:dyDescent="0.25">
      <c r="A249" s="80">
        <v>43525</v>
      </c>
      <c r="B249" s="4">
        <v>4708</v>
      </c>
      <c r="C249" s="4">
        <v>14</v>
      </c>
      <c r="D249" s="4">
        <v>6186</v>
      </c>
      <c r="E249" s="4">
        <v>328</v>
      </c>
    </row>
    <row r="250" spans="1:5" x14ac:dyDescent="0.25">
      <c r="A250" s="80">
        <v>43556</v>
      </c>
      <c r="B250" s="4">
        <v>4637</v>
      </c>
      <c r="C250" s="4">
        <v>55</v>
      </c>
      <c r="D250" s="4">
        <v>7402</v>
      </c>
      <c r="E250" s="4">
        <v>185</v>
      </c>
    </row>
    <row r="251" spans="1:5" x14ac:dyDescent="0.25">
      <c r="A251" s="80">
        <v>43586</v>
      </c>
      <c r="B251" s="4">
        <v>4522</v>
      </c>
      <c r="C251" s="4">
        <v>5</v>
      </c>
      <c r="D251" s="4">
        <v>5260</v>
      </c>
      <c r="E251" s="4">
        <v>636</v>
      </c>
    </row>
    <row r="252" spans="1:5" x14ac:dyDescent="0.25">
      <c r="A252" s="80">
        <v>43617</v>
      </c>
      <c r="B252" s="4">
        <v>3951</v>
      </c>
      <c r="C252" s="4">
        <v>16</v>
      </c>
      <c r="D252" s="4">
        <v>5977</v>
      </c>
      <c r="E252" s="4">
        <v>376</v>
      </c>
    </row>
    <row r="253" spans="1:5" x14ac:dyDescent="0.25">
      <c r="A253" s="80">
        <v>43647</v>
      </c>
      <c r="B253" s="4">
        <v>4598</v>
      </c>
      <c r="C253" s="4">
        <v>30</v>
      </c>
      <c r="D253" s="4">
        <v>6855</v>
      </c>
      <c r="E253" s="4">
        <v>406</v>
      </c>
    </row>
    <row r="254" spans="1:5" x14ac:dyDescent="0.25">
      <c r="A254" s="80">
        <v>43678</v>
      </c>
      <c r="B254" s="4">
        <v>4204</v>
      </c>
      <c r="C254" s="4">
        <v>63</v>
      </c>
      <c r="D254" s="4">
        <v>6936</v>
      </c>
      <c r="E254" s="4">
        <v>414</v>
      </c>
    </row>
    <row r="255" spans="1:5" x14ac:dyDescent="0.25">
      <c r="A255" s="80">
        <v>43709</v>
      </c>
      <c r="B255" s="4">
        <v>5145</v>
      </c>
      <c r="C255" s="4">
        <v>13</v>
      </c>
      <c r="D255" s="4">
        <v>6758</v>
      </c>
      <c r="E255" s="4">
        <v>416</v>
      </c>
    </row>
    <row r="256" spans="1:5" x14ac:dyDescent="0.25">
      <c r="A256" s="80">
        <v>43739</v>
      </c>
      <c r="B256" s="4">
        <v>5041</v>
      </c>
      <c r="C256" s="4">
        <v>16</v>
      </c>
      <c r="D256" s="4">
        <v>6024</v>
      </c>
      <c r="E256" s="4">
        <v>343</v>
      </c>
    </row>
    <row r="257" spans="1:5" x14ac:dyDescent="0.25">
      <c r="A257" s="80">
        <v>43770</v>
      </c>
      <c r="B257" s="4">
        <v>4632</v>
      </c>
      <c r="C257" s="4">
        <v>59</v>
      </c>
      <c r="D257" s="4">
        <v>5585</v>
      </c>
      <c r="E257" s="4">
        <v>407</v>
      </c>
    </row>
    <row r="258" spans="1:5" x14ac:dyDescent="0.25">
      <c r="A258" s="80">
        <v>43800</v>
      </c>
      <c r="B258" s="4">
        <v>4054</v>
      </c>
      <c r="C258" s="4">
        <v>12</v>
      </c>
      <c r="D258" s="4">
        <v>5250</v>
      </c>
      <c r="E258" s="4">
        <v>377</v>
      </c>
    </row>
    <row r="259" spans="1:5" x14ac:dyDescent="0.25">
      <c r="A259" s="80">
        <v>43831</v>
      </c>
      <c r="B259" s="4">
        <v>3986</v>
      </c>
      <c r="C259" s="4">
        <v>15</v>
      </c>
      <c r="D259" s="4">
        <v>4644</v>
      </c>
      <c r="E259" s="4">
        <v>405</v>
      </c>
    </row>
    <row r="260" spans="1:5" x14ac:dyDescent="0.25">
      <c r="A260" s="80">
        <v>43862</v>
      </c>
      <c r="B260" s="4">
        <v>2970</v>
      </c>
      <c r="C260" s="4">
        <v>17</v>
      </c>
      <c r="D260" s="4">
        <v>4063</v>
      </c>
      <c r="E260" s="4">
        <v>340</v>
      </c>
    </row>
    <row r="261" spans="1:5" x14ac:dyDescent="0.25">
      <c r="A261" s="80">
        <v>43891</v>
      </c>
      <c r="B261" s="4">
        <v>3042</v>
      </c>
      <c r="C261" s="4">
        <v>12</v>
      </c>
      <c r="D261" s="4">
        <v>3405</v>
      </c>
      <c r="E261" s="4">
        <v>340</v>
      </c>
    </row>
    <row r="262" spans="1:5" x14ac:dyDescent="0.25">
      <c r="A262" s="80">
        <v>43922</v>
      </c>
      <c r="B262" s="4">
        <v>2208</v>
      </c>
      <c r="C262" s="4">
        <v>12</v>
      </c>
      <c r="D262" s="4">
        <v>3580</v>
      </c>
      <c r="E262" s="4">
        <v>75</v>
      </c>
    </row>
    <row r="263" spans="1:5" x14ac:dyDescent="0.25">
      <c r="A263" s="80">
        <v>43952</v>
      </c>
      <c r="B263" s="4">
        <v>3003</v>
      </c>
      <c r="C263" s="4">
        <v>5</v>
      </c>
      <c r="D263" s="4">
        <v>2661</v>
      </c>
      <c r="E263" s="4">
        <v>38</v>
      </c>
    </row>
    <row r="264" spans="1:5" x14ac:dyDescent="0.25">
      <c r="A264" s="80">
        <v>43983</v>
      </c>
      <c r="B264" s="4">
        <v>2113</v>
      </c>
      <c r="C264" s="4">
        <v>9</v>
      </c>
      <c r="D264" s="4">
        <v>3454</v>
      </c>
      <c r="E264" s="4">
        <v>216</v>
      </c>
    </row>
    <row r="265" spans="1:5" x14ac:dyDescent="0.25">
      <c r="A265" s="80">
        <v>44013</v>
      </c>
      <c r="B265" s="4">
        <v>1061</v>
      </c>
      <c r="C265" s="4">
        <v>0</v>
      </c>
      <c r="D265" s="4">
        <v>5354</v>
      </c>
      <c r="E265" s="4">
        <v>182</v>
      </c>
    </row>
    <row r="266" spans="1:5" x14ac:dyDescent="0.25">
      <c r="A266" s="80">
        <v>44044</v>
      </c>
      <c r="B266" s="4">
        <v>2177</v>
      </c>
      <c r="C266" s="4">
        <v>0</v>
      </c>
      <c r="D266" s="4">
        <v>5125</v>
      </c>
      <c r="E266" s="4">
        <v>178</v>
      </c>
    </row>
    <row r="267" spans="1:5" x14ac:dyDescent="0.25">
      <c r="A267" s="80">
        <v>44075</v>
      </c>
      <c r="B267" s="4">
        <v>2284</v>
      </c>
      <c r="C267" s="4">
        <v>59</v>
      </c>
      <c r="D267" s="4">
        <v>5167</v>
      </c>
      <c r="E267" s="4">
        <v>156</v>
      </c>
    </row>
    <row r="268" spans="1:5" x14ac:dyDescent="0.25">
      <c r="A268" s="80">
        <v>44105</v>
      </c>
      <c r="B268" s="4">
        <v>2739</v>
      </c>
      <c r="C268" s="4">
        <v>18</v>
      </c>
      <c r="D268" s="4">
        <v>4266</v>
      </c>
      <c r="E268" s="4">
        <v>115</v>
      </c>
    </row>
    <row r="269" spans="1:5" x14ac:dyDescent="0.25">
      <c r="A269" s="80">
        <v>44136</v>
      </c>
      <c r="B269" s="4">
        <v>1588</v>
      </c>
      <c r="C269" s="4">
        <v>0</v>
      </c>
      <c r="D269" s="4">
        <v>4036</v>
      </c>
      <c r="E269" s="4">
        <v>365</v>
      </c>
    </row>
    <row r="270" spans="1:5" x14ac:dyDescent="0.25">
      <c r="A270" s="80">
        <v>44166</v>
      </c>
      <c r="B270" s="4">
        <v>3152</v>
      </c>
      <c r="C270" s="4">
        <v>0</v>
      </c>
      <c r="D270" s="4">
        <v>3386</v>
      </c>
      <c r="E270" s="4">
        <v>319</v>
      </c>
    </row>
    <row r="271" spans="1:5" x14ac:dyDescent="0.25">
      <c r="A271" s="40"/>
      <c r="B271" s="4"/>
      <c r="C271" s="4"/>
      <c r="D271" s="4"/>
      <c r="E271" s="4"/>
    </row>
    <row r="272" spans="1:5" x14ac:dyDescent="0.25">
      <c r="A272" s="68"/>
      <c r="B272" s="69"/>
      <c r="C272" s="69"/>
      <c r="D272" s="69"/>
      <c r="E272" s="70"/>
    </row>
    <row r="273" spans="1:5" x14ac:dyDescent="0.25">
      <c r="A273" s="86" t="s">
        <v>30</v>
      </c>
      <c r="B273" s="90"/>
      <c r="C273" s="90"/>
      <c r="D273" s="71"/>
      <c r="E273" s="72"/>
    </row>
    <row r="274" spans="1:5" ht="15.75" hidden="1" customHeight="1" x14ac:dyDescent="0.25">
      <c r="A274" s="86" t="s">
        <v>31</v>
      </c>
      <c r="B274" s="87"/>
      <c r="C274" s="87"/>
      <c r="D274" s="87"/>
      <c r="E274" s="72"/>
    </row>
    <row r="275" spans="1:5" ht="15.75" hidden="1" customHeight="1" x14ac:dyDescent="0.25">
      <c r="A275" s="86" t="s">
        <v>32</v>
      </c>
      <c r="B275" s="87"/>
      <c r="C275" s="87"/>
      <c r="D275" s="87"/>
      <c r="E275" s="72"/>
    </row>
    <row r="276" spans="1:5" x14ac:dyDescent="0.25">
      <c r="A276" s="73"/>
      <c r="B276" s="71"/>
      <c r="C276" s="71"/>
      <c r="D276" s="71"/>
      <c r="E276" s="72"/>
    </row>
    <row r="277" spans="1:5" x14ac:dyDescent="0.25">
      <c r="A277" s="74" t="s">
        <v>33</v>
      </c>
      <c r="B277" s="75"/>
      <c r="C277" s="75"/>
      <c r="D277" s="75"/>
      <c r="E277" s="76"/>
    </row>
    <row r="278" spans="1:5" x14ac:dyDescent="0.25">
      <c r="A278" s="77"/>
      <c r="B278" s="78"/>
      <c r="C278" s="78"/>
      <c r="D278" s="78"/>
      <c r="E278" s="79"/>
    </row>
  </sheetData>
  <mergeCells count="7">
    <mergeCell ref="A275:D275"/>
    <mergeCell ref="B5:B6"/>
    <mergeCell ref="C5:C6"/>
    <mergeCell ref="D5:D6"/>
    <mergeCell ref="E5:E6"/>
    <mergeCell ref="A273:C273"/>
    <mergeCell ref="A274:D274"/>
  </mergeCells>
  <hyperlinks>
    <hyperlink ref="A1" location="Table_of_Contents!A1" display="Back to the table of contents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102"/>
  <sheetViews>
    <sheetView workbookViewId="0">
      <pane xSplit="1" ySplit="6" topLeftCell="B79" activePane="bottomRight" state="frozen"/>
      <selection pane="topRight" activeCell="B1" sqref="B1"/>
      <selection pane="bottomLeft" activeCell="A7" sqref="A7"/>
      <selection pane="bottomRight" activeCell="B91" sqref="B91:B94"/>
    </sheetView>
  </sheetViews>
  <sheetFormatPr baseColWidth="10" defaultColWidth="12.6640625" defaultRowHeight="15.75" x14ac:dyDescent="0.25"/>
  <cols>
    <col min="1" max="5" width="16.6640625" style="21" customWidth="1"/>
  </cols>
  <sheetData>
    <row r="1" spans="1:5" x14ac:dyDescent="0.25">
      <c r="A1" s="34" t="s">
        <v>20</v>
      </c>
      <c r="B1" s="41"/>
      <c r="C1" s="41"/>
      <c r="D1" s="41"/>
      <c r="E1" s="42"/>
    </row>
    <row r="2" spans="1:5" x14ac:dyDescent="0.25">
      <c r="A2" s="43"/>
      <c r="B2" s="44"/>
      <c r="C2" s="44"/>
      <c r="D2" s="44"/>
      <c r="E2" s="45"/>
    </row>
    <row r="3" spans="1:5" x14ac:dyDescent="0.25">
      <c r="A3" s="22" t="s">
        <v>0</v>
      </c>
      <c r="B3" s="23"/>
      <c r="C3" s="23"/>
      <c r="D3" s="23"/>
      <c r="E3" s="24" t="s">
        <v>2</v>
      </c>
    </row>
    <row r="4" spans="1:5" x14ac:dyDescent="0.25">
      <c r="A4" s="91" t="s">
        <v>35</v>
      </c>
      <c r="B4" s="92"/>
      <c r="C4" s="92"/>
      <c r="D4" s="92"/>
      <c r="E4" s="93"/>
    </row>
    <row r="5" spans="1:5" x14ac:dyDescent="0.25">
      <c r="A5" s="63" t="s">
        <v>21</v>
      </c>
      <c r="B5" s="88" t="s">
        <v>22</v>
      </c>
      <c r="C5" s="88" t="s">
        <v>23</v>
      </c>
      <c r="D5" s="88" t="s">
        <v>6</v>
      </c>
      <c r="E5" s="88" t="s">
        <v>1</v>
      </c>
    </row>
    <row r="6" spans="1:5" x14ac:dyDescent="0.25">
      <c r="A6" s="64" t="s">
        <v>24</v>
      </c>
      <c r="B6" s="89"/>
      <c r="C6" s="89"/>
      <c r="D6" s="89"/>
      <c r="E6" s="89"/>
    </row>
    <row r="7" spans="1:5" x14ac:dyDescent="0.25">
      <c r="A7" s="81">
        <v>36220</v>
      </c>
      <c r="B7" s="25">
        <v>6614</v>
      </c>
      <c r="C7" s="25">
        <v>522</v>
      </c>
      <c r="D7" s="25">
        <v>7121</v>
      </c>
      <c r="E7" s="25">
        <v>485</v>
      </c>
    </row>
    <row r="8" spans="1:5" x14ac:dyDescent="0.25">
      <c r="A8" s="81">
        <v>36312</v>
      </c>
      <c r="B8" s="26">
        <v>7636</v>
      </c>
      <c r="C8" s="26">
        <v>619</v>
      </c>
      <c r="D8" s="26">
        <v>7698</v>
      </c>
      <c r="E8" s="26">
        <v>482</v>
      </c>
    </row>
    <row r="9" spans="1:5" x14ac:dyDescent="0.25">
      <c r="A9" s="81">
        <v>36404</v>
      </c>
      <c r="B9" s="26">
        <v>6873</v>
      </c>
      <c r="C9" s="26">
        <v>333</v>
      </c>
      <c r="D9" s="26">
        <v>6746</v>
      </c>
      <c r="E9" s="26">
        <v>614</v>
      </c>
    </row>
    <row r="10" spans="1:5" x14ac:dyDescent="0.25">
      <c r="A10" s="81">
        <v>36495</v>
      </c>
      <c r="B10" s="26">
        <v>8098</v>
      </c>
      <c r="C10" s="26">
        <v>174</v>
      </c>
      <c r="D10" s="26">
        <v>8771</v>
      </c>
      <c r="E10" s="26">
        <v>679</v>
      </c>
    </row>
    <row r="11" spans="1:5" x14ac:dyDescent="0.25">
      <c r="A11" s="81">
        <v>36586</v>
      </c>
      <c r="B11" s="26">
        <v>6654</v>
      </c>
      <c r="C11" s="26">
        <v>564</v>
      </c>
      <c r="D11" s="26">
        <v>7466</v>
      </c>
      <c r="E11" s="26">
        <v>296</v>
      </c>
    </row>
    <row r="12" spans="1:5" x14ac:dyDescent="0.25">
      <c r="A12" s="81">
        <v>36678</v>
      </c>
      <c r="B12" s="26">
        <v>7464</v>
      </c>
      <c r="C12" s="26">
        <v>665</v>
      </c>
      <c r="D12" s="26">
        <v>8308</v>
      </c>
      <c r="E12" s="26">
        <v>600</v>
      </c>
    </row>
    <row r="13" spans="1:5" x14ac:dyDescent="0.25">
      <c r="A13" s="81">
        <v>36770</v>
      </c>
      <c r="B13" s="26">
        <v>8085</v>
      </c>
      <c r="C13" s="26">
        <v>687</v>
      </c>
      <c r="D13" s="26">
        <v>8052</v>
      </c>
      <c r="E13" s="26">
        <v>496</v>
      </c>
    </row>
    <row r="14" spans="1:5" x14ac:dyDescent="0.25">
      <c r="A14" s="81">
        <v>36861</v>
      </c>
      <c r="B14" s="26">
        <v>7481</v>
      </c>
      <c r="C14" s="26">
        <v>485</v>
      </c>
      <c r="D14" s="26">
        <v>7885</v>
      </c>
      <c r="E14" s="26">
        <v>337</v>
      </c>
    </row>
    <row r="15" spans="1:5" x14ac:dyDescent="0.25">
      <c r="A15" s="81">
        <v>36951</v>
      </c>
      <c r="B15" s="26">
        <v>7243</v>
      </c>
      <c r="C15" s="26">
        <v>463</v>
      </c>
      <c r="D15" s="26">
        <v>7325</v>
      </c>
      <c r="E15" s="26">
        <v>343</v>
      </c>
    </row>
    <row r="16" spans="1:5" x14ac:dyDescent="0.25">
      <c r="A16" s="81">
        <v>37043</v>
      </c>
      <c r="B16" s="26">
        <v>7190</v>
      </c>
      <c r="C16" s="26">
        <v>474</v>
      </c>
      <c r="D16" s="26">
        <v>8120</v>
      </c>
      <c r="E16" s="26">
        <v>343</v>
      </c>
    </row>
    <row r="17" spans="1:7" x14ac:dyDescent="0.25">
      <c r="A17" s="81">
        <v>37135</v>
      </c>
      <c r="B17" s="26">
        <v>7750</v>
      </c>
      <c r="C17" s="26">
        <v>565</v>
      </c>
      <c r="D17" s="26">
        <v>9077</v>
      </c>
      <c r="E17" s="26">
        <v>814</v>
      </c>
    </row>
    <row r="18" spans="1:7" x14ac:dyDescent="0.25">
      <c r="A18" s="81">
        <v>37226</v>
      </c>
      <c r="B18" s="26">
        <v>7355</v>
      </c>
      <c r="C18" s="26">
        <v>518</v>
      </c>
      <c r="D18" s="26">
        <v>8255</v>
      </c>
      <c r="E18" s="26">
        <v>950</v>
      </c>
    </row>
    <row r="19" spans="1:7" x14ac:dyDescent="0.25">
      <c r="A19" s="81">
        <v>37316</v>
      </c>
      <c r="B19" s="26">
        <v>7235</v>
      </c>
      <c r="C19" s="26">
        <v>564</v>
      </c>
      <c r="D19" s="26">
        <v>8325</v>
      </c>
      <c r="E19" s="26">
        <v>1576</v>
      </c>
    </row>
    <row r="20" spans="1:7" x14ac:dyDescent="0.25">
      <c r="A20" s="81">
        <v>37408</v>
      </c>
      <c r="B20" s="26">
        <v>8037</v>
      </c>
      <c r="C20" s="26">
        <v>506</v>
      </c>
      <c r="D20" s="26">
        <v>9762</v>
      </c>
      <c r="E20" s="26">
        <v>1122</v>
      </c>
    </row>
    <row r="21" spans="1:7" x14ac:dyDescent="0.25">
      <c r="A21" s="81">
        <v>37500</v>
      </c>
      <c r="B21" s="26">
        <v>8576</v>
      </c>
      <c r="C21" s="26">
        <v>507</v>
      </c>
      <c r="D21" s="26">
        <v>8941</v>
      </c>
      <c r="E21" s="26">
        <v>895</v>
      </c>
    </row>
    <row r="22" spans="1:7" x14ac:dyDescent="0.25">
      <c r="A22" s="81">
        <v>37591</v>
      </c>
      <c r="B22" s="26">
        <v>8241</v>
      </c>
      <c r="C22" s="26">
        <v>626</v>
      </c>
      <c r="D22" s="26">
        <v>8184</v>
      </c>
      <c r="E22" s="26">
        <v>1029</v>
      </c>
    </row>
    <row r="23" spans="1:7" x14ac:dyDescent="0.25">
      <c r="A23" s="81">
        <v>37681</v>
      </c>
      <c r="B23" s="26">
        <v>7142</v>
      </c>
      <c r="C23" s="26">
        <v>544</v>
      </c>
      <c r="D23" s="26">
        <v>7514</v>
      </c>
      <c r="E23" s="26">
        <v>906</v>
      </c>
    </row>
    <row r="24" spans="1:7" x14ac:dyDescent="0.25">
      <c r="A24" s="81">
        <v>37773</v>
      </c>
      <c r="B24" s="26">
        <v>6452</v>
      </c>
      <c r="C24" s="26">
        <v>382</v>
      </c>
      <c r="D24" s="26">
        <v>6791</v>
      </c>
      <c r="E24" s="26">
        <v>843</v>
      </c>
    </row>
    <row r="25" spans="1:7" x14ac:dyDescent="0.25">
      <c r="A25" s="81">
        <v>37865</v>
      </c>
      <c r="B25" s="26">
        <v>6654</v>
      </c>
      <c r="C25" s="26">
        <v>517</v>
      </c>
      <c r="D25" s="26">
        <v>6133</v>
      </c>
      <c r="E25" s="26">
        <v>1401</v>
      </c>
      <c r="G25" s="1"/>
    </row>
    <row r="26" spans="1:7" x14ac:dyDescent="0.25">
      <c r="A26" s="81">
        <v>37956</v>
      </c>
      <c r="B26" s="26">
        <v>6188</v>
      </c>
      <c r="C26" s="26">
        <v>229</v>
      </c>
      <c r="D26" s="26">
        <v>5171</v>
      </c>
      <c r="E26" s="26">
        <v>1840</v>
      </c>
    </row>
    <row r="27" spans="1:7" x14ac:dyDescent="0.25">
      <c r="A27" s="81">
        <v>38047</v>
      </c>
      <c r="B27" s="26">
        <v>6191</v>
      </c>
      <c r="C27" s="26">
        <v>160</v>
      </c>
      <c r="D27" s="26">
        <v>4999</v>
      </c>
      <c r="E27" s="26">
        <v>1589</v>
      </c>
    </row>
    <row r="28" spans="1:7" x14ac:dyDescent="0.25">
      <c r="A28" s="81">
        <v>38139</v>
      </c>
      <c r="B28" s="26">
        <v>5112</v>
      </c>
      <c r="C28" s="26">
        <v>195</v>
      </c>
      <c r="D28" s="26">
        <v>5596</v>
      </c>
      <c r="E28" s="26">
        <v>2041</v>
      </c>
    </row>
    <row r="29" spans="1:7" x14ac:dyDescent="0.25">
      <c r="A29" s="81">
        <v>38231</v>
      </c>
      <c r="B29" s="26">
        <v>6096</v>
      </c>
      <c r="C29" s="26">
        <v>151</v>
      </c>
      <c r="D29" s="26">
        <v>6256</v>
      </c>
      <c r="E29" s="26">
        <v>1870</v>
      </c>
    </row>
    <row r="30" spans="1:7" x14ac:dyDescent="0.25">
      <c r="A30" s="81">
        <v>38322</v>
      </c>
      <c r="B30" s="26">
        <v>5511</v>
      </c>
      <c r="C30" s="26">
        <v>109</v>
      </c>
      <c r="D30" s="26">
        <v>6369</v>
      </c>
      <c r="E30" s="26">
        <v>2431</v>
      </c>
    </row>
    <row r="31" spans="1:7" x14ac:dyDescent="0.25">
      <c r="A31" s="81">
        <v>38412</v>
      </c>
      <c r="B31" s="26">
        <v>5898</v>
      </c>
      <c r="C31" s="26">
        <v>106</v>
      </c>
      <c r="D31" s="26">
        <v>6372</v>
      </c>
      <c r="E31" s="26">
        <v>2469</v>
      </c>
    </row>
    <row r="32" spans="1:7" x14ac:dyDescent="0.25">
      <c r="A32" s="81">
        <v>38504</v>
      </c>
      <c r="B32" s="26">
        <v>5698</v>
      </c>
      <c r="C32" s="26">
        <v>343</v>
      </c>
      <c r="D32" s="26">
        <v>7250</v>
      </c>
      <c r="E32" s="26">
        <v>1532</v>
      </c>
    </row>
    <row r="33" spans="1:5" x14ac:dyDescent="0.25">
      <c r="A33" s="81">
        <v>38596</v>
      </c>
      <c r="B33" s="26">
        <v>6886</v>
      </c>
      <c r="C33" s="26">
        <v>262</v>
      </c>
      <c r="D33" s="26">
        <v>7211</v>
      </c>
      <c r="E33" s="26">
        <v>1810</v>
      </c>
    </row>
    <row r="34" spans="1:5" x14ac:dyDescent="0.25">
      <c r="A34" s="81">
        <v>38687</v>
      </c>
      <c r="B34" s="26">
        <v>6316</v>
      </c>
      <c r="C34" s="26">
        <v>425</v>
      </c>
      <c r="D34" s="26">
        <v>7705</v>
      </c>
      <c r="E34" s="26">
        <v>2559</v>
      </c>
    </row>
    <row r="35" spans="1:5" x14ac:dyDescent="0.25">
      <c r="A35" s="81">
        <v>38777</v>
      </c>
      <c r="B35" s="26">
        <v>7164</v>
      </c>
      <c r="C35" s="26">
        <v>308</v>
      </c>
      <c r="D35" s="26">
        <v>8285</v>
      </c>
      <c r="E35" s="26">
        <v>2153</v>
      </c>
    </row>
    <row r="36" spans="1:5" x14ac:dyDescent="0.25">
      <c r="A36" s="81">
        <v>38869</v>
      </c>
      <c r="B36" s="26">
        <v>7057</v>
      </c>
      <c r="C36" s="26">
        <v>318</v>
      </c>
      <c r="D36" s="26">
        <v>8004</v>
      </c>
      <c r="E36" s="26">
        <v>2450</v>
      </c>
    </row>
    <row r="37" spans="1:5" x14ac:dyDescent="0.25">
      <c r="A37" s="81">
        <v>38961</v>
      </c>
      <c r="B37" s="26">
        <v>7306</v>
      </c>
      <c r="C37" s="26">
        <v>297</v>
      </c>
      <c r="D37" s="26">
        <v>8842</v>
      </c>
      <c r="E37" s="26">
        <v>2011</v>
      </c>
    </row>
    <row r="38" spans="1:5" x14ac:dyDescent="0.25">
      <c r="A38" s="81">
        <v>39052</v>
      </c>
      <c r="B38" s="26">
        <v>7141</v>
      </c>
      <c r="C38" s="26">
        <v>204</v>
      </c>
      <c r="D38" s="26">
        <v>8341</v>
      </c>
      <c r="E38" s="26">
        <v>1494</v>
      </c>
    </row>
    <row r="39" spans="1:5" x14ac:dyDescent="0.25">
      <c r="A39" s="81">
        <v>39142</v>
      </c>
      <c r="B39" s="26">
        <v>6847</v>
      </c>
      <c r="C39" s="26">
        <v>217</v>
      </c>
      <c r="D39" s="26">
        <v>7895</v>
      </c>
      <c r="E39" s="26">
        <v>1653</v>
      </c>
    </row>
    <row r="40" spans="1:5" x14ac:dyDescent="0.25">
      <c r="A40" s="81">
        <v>39234</v>
      </c>
      <c r="B40" s="20">
        <v>6570</v>
      </c>
      <c r="C40" s="20">
        <v>353</v>
      </c>
      <c r="D40" s="20">
        <v>7740</v>
      </c>
      <c r="E40" s="20">
        <v>2214</v>
      </c>
    </row>
    <row r="41" spans="1:5" x14ac:dyDescent="0.25">
      <c r="A41" s="81">
        <v>39326</v>
      </c>
      <c r="B41" s="20">
        <v>8086</v>
      </c>
      <c r="C41" s="20">
        <v>486</v>
      </c>
      <c r="D41" s="20">
        <v>9742</v>
      </c>
      <c r="E41" s="20">
        <v>1703</v>
      </c>
    </row>
    <row r="42" spans="1:5" x14ac:dyDescent="0.25">
      <c r="A42" s="81">
        <v>39417</v>
      </c>
      <c r="B42" s="20">
        <v>7937</v>
      </c>
      <c r="C42" s="20">
        <v>299</v>
      </c>
      <c r="D42" s="20">
        <v>8835</v>
      </c>
      <c r="E42" s="20">
        <v>1765</v>
      </c>
    </row>
    <row r="43" spans="1:5" x14ac:dyDescent="0.25">
      <c r="A43" s="81">
        <v>39508</v>
      </c>
      <c r="B43" s="20">
        <v>7474</v>
      </c>
      <c r="C43" s="20">
        <v>284</v>
      </c>
      <c r="D43" s="20">
        <v>8019</v>
      </c>
      <c r="E43" s="20">
        <v>1852</v>
      </c>
    </row>
    <row r="44" spans="1:5" x14ac:dyDescent="0.25">
      <c r="A44" s="81">
        <v>39600</v>
      </c>
      <c r="B44" s="20">
        <v>7776</v>
      </c>
      <c r="C44" s="20">
        <v>422</v>
      </c>
      <c r="D44" s="20">
        <v>9248</v>
      </c>
      <c r="E44" s="20">
        <v>1909</v>
      </c>
    </row>
    <row r="45" spans="1:5" x14ac:dyDescent="0.25">
      <c r="A45" s="81">
        <v>39692</v>
      </c>
      <c r="B45" s="20">
        <v>7879</v>
      </c>
      <c r="C45" s="20">
        <v>337</v>
      </c>
      <c r="D45" s="20">
        <v>9407</v>
      </c>
      <c r="E45" s="20">
        <v>1513</v>
      </c>
    </row>
    <row r="46" spans="1:5" x14ac:dyDescent="0.25">
      <c r="A46" s="81">
        <v>39783</v>
      </c>
      <c r="B46" s="20">
        <v>5573</v>
      </c>
      <c r="C46" s="20">
        <v>402</v>
      </c>
      <c r="D46" s="20">
        <v>7119</v>
      </c>
      <c r="E46" s="20">
        <v>1714</v>
      </c>
    </row>
    <row r="47" spans="1:5" x14ac:dyDescent="0.25">
      <c r="A47" s="81">
        <v>39873</v>
      </c>
      <c r="B47" s="20">
        <v>6632</v>
      </c>
      <c r="C47" s="20">
        <v>191</v>
      </c>
      <c r="D47" s="20">
        <v>7106</v>
      </c>
      <c r="E47" s="20">
        <v>1589</v>
      </c>
    </row>
    <row r="48" spans="1:5" x14ac:dyDescent="0.25">
      <c r="A48" s="81">
        <v>39965</v>
      </c>
      <c r="B48" s="20">
        <v>7616</v>
      </c>
      <c r="C48" s="20">
        <v>339</v>
      </c>
      <c r="D48" s="20">
        <v>8421</v>
      </c>
      <c r="E48" s="20">
        <v>1608</v>
      </c>
    </row>
    <row r="49" spans="1:5" x14ac:dyDescent="0.25">
      <c r="A49" s="81">
        <v>40057</v>
      </c>
      <c r="B49" s="20">
        <v>8506</v>
      </c>
      <c r="C49" s="20">
        <v>421</v>
      </c>
      <c r="D49" s="20">
        <v>8240</v>
      </c>
      <c r="E49" s="20">
        <v>2196</v>
      </c>
    </row>
    <row r="50" spans="1:5" x14ac:dyDescent="0.25">
      <c r="A50" s="81">
        <v>40148</v>
      </c>
      <c r="B50" s="20">
        <v>7982</v>
      </c>
      <c r="C50" s="20">
        <v>759</v>
      </c>
      <c r="D50" s="20">
        <v>8495</v>
      </c>
      <c r="E50" s="20">
        <v>1863</v>
      </c>
    </row>
    <row r="51" spans="1:5" x14ac:dyDescent="0.25">
      <c r="A51" s="81">
        <v>40238</v>
      </c>
      <c r="B51" s="20">
        <v>7569</v>
      </c>
      <c r="C51" s="20">
        <v>731</v>
      </c>
      <c r="D51" s="20">
        <v>7245</v>
      </c>
      <c r="E51" s="20">
        <v>1491</v>
      </c>
    </row>
    <row r="52" spans="1:5" x14ac:dyDescent="0.25">
      <c r="A52" s="81">
        <v>40330</v>
      </c>
      <c r="B52" s="20">
        <v>7918</v>
      </c>
      <c r="C52" s="20">
        <v>866</v>
      </c>
      <c r="D52" s="20">
        <v>7121</v>
      </c>
      <c r="E52" s="20">
        <v>1293</v>
      </c>
    </row>
    <row r="53" spans="1:5" x14ac:dyDescent="0.25">
      <c r="A53" s="81">
        <v>40422</v>
      </c>
      <c r="B53" s="20">
        <v>8933</v>
      </c>
      <c r="C53" s="20">
        <v>1008</v>
      </c>
      <c r="D53" s="20">
        <v>8246</v>
      </c>
      <c r="E53" s="20">
        <v>1318</v>
      </c>
    </row>
    <row r="54" spans="1:5" x14ac:dyDescent="0.25">
      <c r="A54" s="81">
        <v>40513</v>
      </c>
      <c r="B54" s="20">
        <v>8428</v>
      </c>
      <c r="C54" s="20">
        <v>809</v>
      </c>
      <c r="D54" s="20">
        <v>8389</v>
      </c>
      <c r="E54" s="20">
        <v>1510</v>
      </c>
    </row>
    <row r="55" spans="1:5" x14ac:dyDescent="0.25">
      <c r="A55" s="81">
        <v>40603</v>
      </c>
      <c r="B55" s="20">
        <v>7275</v>
      </c>
      <c r="C55" s="20">
        <v>641</v>
      </c>
      <c r="D55" s="20">
        <v>8067</v>
      </c>
      <c r="E55" s="20">
        <v>1343</v>
      </c>
    </row>
    <row r="56" spans="1:5" x14ac:dyDescent="0.25">
      <c r="A56" s="81">
        <v>40695</v>
      </c>
      <c r="B56" s="20">
        <v>9086</v>
      </c>
      <c r="C56" s="20">
        <v>847</v>
      </c>
      <c r="D56" s="20">
        <v>8459</v>
      </c>
      <c r="E56" s="20">
        <v>1513</v>
      </c>
    </row>
    <row r="57" spans="1:5" x14ac:dyDescent="0.25">
      <c r="A57" s="81">
        <v>40787</v>
      </c>
      <c r="B57" s="20">
        <v>9471</v>
      </c>
      <c r="C57" s="20">
        <v>872</v>
      </c>
      <c r="D57" s="20">
        <v>9326</v>
      </c>
      <c r="E57" s="20">
        <v>1371</v>
      </c>
    </row>
    <row r="58" spans="1:5" x14ac:dyDescent="0.25">
      <c r="A58" s="81">
        <v>40878</v>
      </c>
      <c r="B58" s="20">
        <v>10729</v>
      </c>
      <c r="C58" s="20">
        <v>999</v>
      </c>
      <c r="D58" s="20">
        <v>9575</v>
      </c>
      <c r="E58" s="20">
        <v>1179</v>
      </c>
    </row>
    <row r="59" spans="1:5" x14ac:dyDescent="0.25">
      <c r="A59" s="81">
        <v>40969</v>
      </c>
      <c r="B59" s="20">
        <v>10401</v>
      </c>
      <c r="C59" s="20">
        <v>632</v>
      </c>
      <c r="D59" s="20">
        <v>8778</v>
      </c>
      <c r="E59" s="20">
        <v>1225</v>
      </c>
    </row>
    <row r="60" spans="1:5" x14ac:dyDescent="0.25">
      <c r="A60" s="81">
        <v>41061</v>
      </c>
      <c r="B60" s="20">
        <v>11948</v>
      </c>
      <c r="C60" s="20">
        <v>590</v>
      </c>
      <c r="D60" s="20">
        <v>9393</v>
      </c>
      <c r="E60" s="20">
        <v>1136</v>
      </c>
    </row>
    <row r="61" spans="1:5" x14ac:dyDescent="0.25">
      <c r="A61" s="81">
        <v>41153</v>
      </c>
      <c r="B61" s="20">
        <v>12576</v>
      </c>
      <c r="C61" s="20">
        <v>878</v>
      </c>
      <c r="D61" s="20">
        <v>10247</v>
      </c>
      <c r="E61" s="20">
        <v>1215</v>
      </c>
    </row>
    <row r="62" spans="1:5" x14ac:dyDescent="0.25">
      <c r="A62" s="81">
        <v>41244</v>
      </c>
      <c r="B62" s="20">
        <v>8691</v>
      </c>
      <c r="C62" s="20">
        <v>834</v>
      </c>
      <c r="D62" s="20">
        <v>7582</v>
      </c>
      <c r="E62" s="20">
        <v>1246</v>
      </c>
    </row>
    <row r="63" spans="1:5" x14ac:dyDescent="0.25">
      <c r="A63" s="81">
        <v>41334</v>
      </c>
      <c r="B63" s="20">
        <v>7349</v>
      </c>
      <c r="C63" s="20">
        <v>853</v>
      </c>
      <c r="D63" s="20">
        <v>7714</v>
      </c>
      <c r="E63" s="20">
        <v>1180</v>
      </c>
    </row>
    <row r="64" spans="1:5" x14ac:dyDescent="0.25">
      <c r="A64" s="81">
        <v>41426</v>
      </c>
      <c r="B64" s="20">
        <v>8987</v>
      </c>
      <c r="C64" s="20">
        <v>769</v>
      </c>
      <c r="D64" s="20">
        <v>7704</v>
      </c>
      <c r="E64" s="20">
        <v>1537</v>
      </c>
    </row>
    <row r="65" spans="1:5" x14ac:dyDescent="0.25">
      <c r="A65" s="81">
        <v>41518</v>
      </c>
      <c r="B65" s="20">
        <v>13031</v>
      </c>
      <c r="C65" s="20">
        <v>968</v>
      </c>
      <c r="D65" s="20">
        <v>10091</v>
      </c>
      <c r="E65" s="20">
        <v>1259</v>
      </c>
    </row>
    <row r="66" spans="1:5" x14ac:dyDescent="0.25">
      <c r="A66" s="81">
        <v>41609</v>
      </c>
      <c r="B66" s="20">
        <v>9488</v>
      </c>
      <c r="C66" s="20">
        <v>1054</v>
      </c>
      <c r="D66" s="20">
        <v>6246</v>
      </c>
      <c r="E66" s="20">
        <v>1315</v>
      </c>
    </row>
    <row r="67" spans="1:5" x14ac:dyDescent="0.25">
      <c r="A67" s="81">
        <v>41699</v>
      </c>
      <c r="B67" s="20">
        <v>8951</v>
      </c>
      <c r="C67" s="20">
        <v>765</v>
      </c>
      <c r="D67" s="20">
        <v>6733</v>
      </c>
      <c r="E67" s="20">
        <v>875</v>
      </c>
    </row>
    <row r="68" spans="1:5" x14ac:dyDescent="0.25">
      <c r="A68" s="81">
        <v>41791</v>
      </c>
      <c r="B68" s="20">
        <v>9175</v>
      </c>
      <c r="C68" s="20">
        <v>438.58</v>
      </c>
      <c r="D68" s="20">
        <v>8303</v>
      </c>
      <c r="E68" s="20">
        <v>1464.25</v>
      </c>
    </row>
    <row r="69" spans="1:5" x14ac:dyDescent="0.25">
      <c r="A69" s="81">
        <v>41883</v>
      </c>
      <c r="B69" s="20">
        <v>9512</v>
      </c>
      <c r="C69" s="20">
        <v>262.5</v>
      </c>
      <c r="D69" s="20">
        <v>8006.2</v>
      </c>
      <c r="E69" s="20">
        <v>1883</v>
      </c>
    </row>
    <row r="70" spans="1:5" x14ac:dyDescent="0.25">
      <c r="A70" s="81">
        <v>41974</v>
      </c>
      <c r="B70" s="20">
        <v>9675</v>
      </c>
      <c r="C70" s="20">
        <v>100.80000000000001</v>
      </c>
      <c r="D70" s="20">
        <v>7803</v>
      </c>
      <c r="E70" s="20">
        <v>1024</v>
      </c>
    </row>
    <row r="71" spans="1:5" x14ac:dyDescent="0.25">
      <c r="A71" s="81">
        <v>42064</v>
      </c>
      <c r="B71" s="20">
        <v>7878</v>
      </c>
      <c r="C71" s="20">
        <v>90</v>
      </c>
      <c r="D71" s="20">
        <v>6588</v>
      </c>
      <c r="E71" s="20">
        <v>1256</v>
      </c>
    </row>
    <row r="72" spans="1:5" x14ac:dyDescent="0.25">
      <c r="A72" s="81">
        <v>42156</v>
      </c>
      <c r="B72" s="20">
        <v>6305</v>
      </c>
      <c r="C72" s="20">
        <v>74</v>
      </c>
      <c r="D72" s="20">
        <v>5043</v>
      </c>
      <c r="E72" s="20">
        <v>1034</v>
      </c>
    </row>
    <row r="73" spans="1:5" x14ac:dyDescent="0.25">
      <c r="A73" s="81">
        <v>42248</v>
      </c>
      <c r="B73" s="20">
        <v>8073</v>
      </c>
      <c r="C73" s="20">
        <v>154</v>
      </c>
      <c r="D73" s="20">
        <v>5504</v>
      </c>
      <c r="E73" s="20">
        <v>666</v>
      </c>
    </row>
    <row r="74" spans="1:5" x14ac:dyDescent="0.25">
      <c r="A74" s="81">
        <v>42339</v>
      </c>
      <c r="B74" s="20">
        <v>9281</v>
      </c>
      <c r="C74" s="20">
        <v>192</v>
      </c>
      <c r="D74" s="20">
        <v>5987</v>
      </c>
      <c r="E74" s="20">
        <v>532</v>
      </c>
    </row>
    <row r="75" spans="1:5" x14ac:dyDescent="0.25">
      <c r="A75" s="81">
        <v>42430</v>
      </c>
      <c r="B75" s="20">
        <v>6893</v>
      </c>
      <c r="C75" s="20">
        <v>78</v>
      </c>
      <c r="D75" s="20">
        <v>5020</v>
      </c>
      <c r="E75" s="20">
        <v>558</v>
      </c>
    </row>
    <row r="76" spans="1:5" x14ac:dyDescent="0.25">
      <c r="A76" s="81">
        <v>42522</v>
      </c>
      <c r="B76" s="20">
        <v>2661</v>
      </c>
      <c r="C76" s="20">
        <v>121</v>
      </c>
      <c r="D76" s="20">
        <v>2498</v>
      </c>
      <c r="E76" s="20">
        <v>600</v>
      </c>
    </row>
    <row r="77" spans="1:5" x14ac:dyDescent="0.25">
      <c r="A77" s="81">
        <v>42614</v>
      </c>
      <c r="B77" s="20">
        <v>6579</v>
      </c>
      <c r="C77" s="20">
        <v>59</v>
      </c>
      <c r="D77" s="20">
        <v>5740</v>
      </c>
      <c r="E77" s="20">
        <v>509</v>
      </c>
    </row>
    <row r="78" spans="1:5" x14ac:dyDescent="0.25">
      <c r="A78" s="81">
        <v>42705</v>
      </c>
      <c r="B78" s="20">
        <v>7209</v>
      </c>
      <c r="C78" s="20">
        <v>78</v>
      </c>
      <c r="D78" s="20">
        <v>6225</v>
      </c>
      <c r="E78" s="20">
        <v>299</v>
      </c>
    </row>
    <row r="79" spans="1:5" x14ac:dyDescent="0.25">
      <c r="A79" s="81">
        <v>42795</v>
      </c>
      <c r="B79" s="20">
        <v>7591</v>
      </c>
      <c r="C79" s="20">
        <v>73</v>
      </c>
      <c r="D79" s="20">
        <v>6078</v>
      </c>
      <c r="E79" s="20">
        <v>454</v>
      </c>
    </row>
    <row r="80" spans="1:5" x14ac:dyDescent="0.25">
      <c r="A80" s="81">
        <v>42887</v>
      </c>
      <c r="B80" s="20">
        <v>9745</v>
      </c>
      <c r="C80" s="20">
        <v>86</v>
      </c>
      <c r="D80" s="20">
        <v>10207</v>
      </c>
      <c r="E80" s="20">
        <v>597</v>
      </c>
    </row>
    <row r="81" spans="1:6" x14ac:dyDescent="0.25">
      <c r="A81" s="81">
        <v>42979</v>
      </c>
      <c r="B81" s="20">
        <v>8553</v>
      </c>
      <c r="C81" s="20">
        <v>124</v>
      </c>
      <c r="D81" s="20">
        <v>12364</v>
      </c>
      <c r="E81" s="20">
        <v>1186</v>
      </c>
    </row>
    <row r="82" spans="1:6" x14ac:dyDescent="0.25">
      <c r="A82" s="81">
        <v>43070</v>
      </c>
      <c r="B82" s="20">
        <v>11191</v>
      </c>
      <c r="C82" s="20">
        <v>68</v>
      </c>
      <c r="D82" s="20">
        <v>18532</v>
      </c>
      <c r="E82" s="20">
        <v>1415</v>
      </c>
    </row>
    <row r="83" spans="1:6" x14ac:dyDescent="0.25">
      <c r="A83" s="81">
        <v>43160</v>
      </c>
      <c r="B83" s="46">
        <v>12066</v>
      </c>
      <c r="C83" s="20">
        <v>111</v>
      </c>
      <c r="D83" s="20">
        <v>16946</v>
      </c>
      <c r="E83" s="20">
        <v>905</v>
      </c>
    </row>
    <row r="84" spans="1:6" x14ac:dyDescent="0.25">
      <c r="A84" s="81">
        <v>43252</v>
      </c>
      <c r="B84" s="19">
        <v>15513</v>
      </c>
      <c r="C84" s="20">
        <v>75</v>
      </c>
      <c r="D84" s="27">
        <v>19002</v>
      </c>
      <c r="E84" s="20">
        <v>1198</v>
      </c>
    </row>
    <row r="85" spans="1:6" x14ac:dyDescent="0.25">
      <c r="A85" s="81">
        <v>43344</v>
      </c>
      <c r="B85" s="19">
        <v>12703</v>
      </c>
      <c r="C85" s="20">
        <v>78</v>
      </c>
      <c r="D85" s="27">
        <v>18210</v>
      </c>
      <c r="E85" s="20">
        <v>1391</v>
      </c>
    </row>
    <row r="86" spans="1:6" x14ac:dyDescent="0.25">
      <c r="A86" s="81">
        <v>43435</v>
      </c>
      <c r="B86" s="19">
        <v>12772</v>
      </c>
      <c r="C86" s="20">
        <v>23</v>
      </c>
      <c r="D86" s="27">
        <v>15545</v>
      </c>
      <c r="E86" s="20">
        <v>1247</v>
      </c>
    </row>
    <row r="87" spans="1:6" x14ac:dyDescent="0.25">
      <c r="A87" s="82">
        <v>43525</v>
      </c>
      <c r="B87" s="19">
        <v>13252</v>
      </c>
      <c r="C87" s="20">
        <v>34</v>
      </c>
      <c r="D87" s="27">
        <v>17199</v>
      </c>
      <c r="E87" s="20">
        <v>852</v>
      </c>
    </row>
    <row r="88" spans="1:6" x14ac:dyDescent="0.25">
      <c r="A88" s="81">
        <v>43617</v>
      </c>
      <c r="B88" s="19">
        <v>13110</v>
      </c>
      <c r="C88" s="20">
        <v>76</v>
      </c>
      <c r="D88" s="27">
        <v>18639</v>
      </c>
      <c r="E88" s="20">
        <v>1197</v>
      </c>
    </row>
    <row r="89" spans="1:6" x14ac:dyDescent="0.25">
      <c r="A89" s="82">
        <v>43709</v>
      </c>
      <c r="B89" s="46">
        <f>Monthly_Data!B255+Monthly_Data!B254+Monthly_Data!B253</f>
        <v>13947</v>
      </c>
      <c r="C89" s="46">
        <f>Monthly_Data!C255+Monthly_Data!C254+Monthly_Data!C253</f>
        <v>106</v>
      </c>
      <c r="D89" s="46">
        <f>Monthly_Data!D255+Monthly_Data!D254+Monthly_Data!D253</f>
        <v>20549</v>
      </c>
      <c r="E89" s="46">
        <f>Monthly_Data!E255+Monthly_Data!E254+Monthly_Data!E253</f>
        <v>1236</v>
      </c>
    </row>
    <row r="90" spans="1:6" x14ac:dyDescent="0.25">
      <c r="A90" s="81">
        <v>43800</v>
      </c>
      <c r="B90" s="46">
        <v>13727</v>
      </c>
      <c r="C90" s="46">
        <v>87</v>
      </c>
      <c r="D90" s="46">
        <v>16859</v>
      </c>
      <c r="E90" s="46">
        <v>1127</v>
      </c>
    </row>
    <row r="91" spans="1:6" x14ac:dyDescent="0.25">
      <c r="A91" s="82">
        <v>43891</v>
      </c>
      <c r="B91" s="46">
        <v>10026</v>
      </c>
      <c r="C91" s="46">
        <v>44</v>
      </c>
      <c r="D91" s="20">
        <v>12050</v>
      </c>
      <c r="E91" s="46">
        <v>1085</v>
      </c>
    </row>
    <row r="92" spans="1:6" x14ac:dyDescent="0.25">
      <c r="A92" s="81">
        <v>43983</v>
      </c>
      <c r="B92" s="19">
        <v>7324</v>
      </c>
      <c r="C92" s="46">
        <v>26</v>
      </c>
      <c r="D92" s="27">
        <v>9695</v>
      </c>
      <c r="E92" s="46">
        <v>329</v>
      </c>
    </row>
    <row r="93" spans="1:6" x14ac:dyDescent="0.25">
      <c r="A93" s="82">
        <v>44075</v>
      </c>
      <c r="B93" s="19">
        <v>5522</v>
      </c>
      <c r="C93" s="46">
        <v>59</v>
      </c>
      <c r="D93" s="27">
        <v>15646</v>
      </c>
      <c r="E93" s="46">
        <v>516</v>
      </c>
    </row>
    <row r="94" spans="1:6" x14ac:dyDescent="0.25">
      <c r="A94" s="81">
        <v>44166</v>
      </c>
      <c r="B94" s="19">
        <v>7479</v>
      </c>
      <c r="C94" s="46">
        <v>18</v>
      </c>
      <c r="D94" s="27">
        <v>11688</v>
      </c>
      <c r="E94" s="46">
        <v>799</v>
      </c>
    </row>
    <row r="95" spans="1:6" x14ac:dyDescent="0.25">
      <c r="A95" s="47"/>
      <c r="B95" s="19"/>
      <c r="C95" s="20"/>
      <c r="D95" s="27"/>
      <c r="E95" s="28"/>
      <c r="F95" s="3"/>
    </row>
    <row r="96" spans="1:6" x14ac:dyDescent="0.25">
      <c r="A96" s="68"/>
      <c r="B96" s="69"/>
      <c r="C96" s="69"/>
      <c r="D96" s="69"/>
      <c r="E96" s="70"/>
    </row>
    <row r="97" spans="1:5" x14ac:dyDescent="0.25">
      <c r="A97" s="86" t="s">
        <v>30</v>
      </c>
      <c r="B97" s="90"/>
      <c r="C97" s="90"/>
      <c r="D97" s="71"/>
      <c r="E97" s="72"/>
    </row>
    <row r="98" spans="1:5" hidden="1" x14ac:dyDescent="0.25">
      <c r="A98" s="86" t="s">
        <v>31</v>
      </c>
      <c r="B98" s="87"/>
      <c r="C98" s="87"/>
      <c r="D98" s="87"/>
      <c r="E98" s="72"/>
    </row>
    <row r="99" spans="1:5" hidden="1" x14ac:dyDescent="0.25">
      <c r="A99" s="86" t="s">
        <v>32</v>
      </c>
      <c r="B99" s="87"/>
      <c r="C99" s="87"/>
      <c r="D99" s="87"/>
      <c r="E99" s="72"/>
    </row>
    <row r="100" spans="1:5" x14ac:dyDescent="0.25">
      <c r="A100" s="73"/>
      <c r="B100" s="71"/>
      <c r="C100" s="71"/>
      <c r="D100" s="71"/>
      <c r="E100" s="72"/>
    </row>
    <row r="101" spans="1:5" x14ac:dyDescent="0.25">
      <c r="A101" s="74" t="s">
        <v>33</v>
      </c>
      <c r="B101" s="75"/>
      <c r="C101" s="75"/>
      <c r="D101" s="75"/>
      <c r="E101" s="76"/>
    </row>
    <row r="102" spans="1:5" x14ac:dyDescent="0.25">
      <c r="A102" s="77"/>
      <c r="B102" s="78"/>
      <c r="C102" s="78"/>
      <c r="D102" s="78"/>
      <c r="E102" s="79"/>
    </row>
  </sheetData>
  <mergeCells count="8">
    <mergeCell ref="A4:E4"/>
    <mergeCell ref="A97:C97"/>
    <mergeCell ref="A98:D98"/>
    <mergeCell ref="A99:D99"/>
    <mergeCell ref="B5:B6"/>
    <mergeCell ref="C5:C6"/>
    <mergeCell ref="D5:D6"/>
    <mergeCell ref="E5:E6"/>
  </mergeCells>
  <hyperlinks>
    <hyperlink ref="A1" location="Table_of_Contents!A1" display="Back to the table of contents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41"/>
  <sheetViews>
    <sheetView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G32" sqref="G32"/>
    </sheetView>
  </sheetViews>
  <sheetFormatPr baseColWidth="10" defaultColWidth="12.6640625" defaultRowHeight="15.75" x14ac:dyDescent="0.25"/>
  <cols>
    <col min="1" max="5" width="14" style="21" customWidth="1"/>
  </cols>
  <sheetData>
    <row r="1" spans="1:5" x14ac:dyDescent="0.25">
      <c r="A1" s="34" t="s">
        <v>20</v>
      </c>
      <c r="B1" s="41"/>
      <c r="C1" s="41"/>
      <c r="D1" s="41"/>
      <c r="E1" s="42"/>
    </row>
    <row r="2" spans="1:5" x14ac:dyDescent="0.25">
      <c r="A2" s="49" t="s">
        <v>0</v>
      </c>
      <c r="B2" s="44"/>
      <c r="C2" s="44"/>
      <c r="D2" s="44"/>
      <c r="E2" s="54"/>
    </row>
    <row r="3" spans="1:5" x14ac:dyDescent="0.25">
      <c r="A3" s="22" t="s">
        <v>0</v>
      </c>
      <c r="B3" s="23"/>
      <c r="C3" s="23"/>
      <c r="D3" s="23"/>
      <c r="E3" s="24" t="s">
        <v>2</v>
      </c>
    </row>
    <row r="4" spans="1:5" x14ac:dyDescent="0.25">
      <c r="A4" s="31" t="s">
        <v>34</v>
      </c>
      <c r="B4" s="32"/>
      <c r="C4" s="17"/>
      <c r="D4" s="17"/>
      <c r="E4" s="18"/>
    </row>
    <row r="5" spans="1:5" x14ac:dyDescent="0.25">
      <c r="A5" s="63" t="s">
        <v>21</v>
      </c>
      <c r="B5" s="88" t="s">
        <v>22</v>
      </c>
      <c r="C5" s="88" t="s">
        <v>23</v>
      </c>
      <c r="D5" s="88" t="s">
        <v>6</v>
      </c>
      <c r="E5" s="88" t="s">
        <v>1</v>
      </c>
    </row>
    <row r="6" spans="1:5" x14ac:dyDescent="0.25">
      <c r="A6" s="64" t="s">
        <v>24</v>
      </c>
      <c r="B6" s="89"/>
      <c r="C6" s="89"/>
      <c r="D6" s="89"/>
      <c r="E6" s="89"/>
    </row>
    <row r="7" spans="1:5" x14ac:dyDescent="0.25">
      <c r="A7" s="55">
        <v>1995</v>
      </c>
      <c r="B7" s="56">
        <v>24737</v>
      </c>
      <c r="C7" s="56">
        <v>5403</v>
      </c>
      <c r="D7" s="56">
        <v>32479</v>
      </c>
      <c r="E7" s="56">
        <v>5600</v>
      </c>
    </row>
    <row r="8" spans="1:5" x14ac:dyDescent="0.25">
      <c r="A8" s="55">
        <v>1996</v>
      </c>
      <c r="B8" s="56">
        <v>16894</v>
      </c>
      <c r="C8" s="56">
        <v>2014</v>
      </c>
      <c r="D8" s="56">
        <v>26317</v>
      </c>
      <c r="E8" s="56">
        <v>2972</v>
      </c>
    </row>
    <row r="9" spans="1:5" x14ac:dyDescent="0.25">
      <c r="A9" s="55">
        <v>1997</v>
      </c>
      <c r="B9" s="56">
        <v>14573</v>
      </c>
      <c r="C9" s="56">
        <v>531</v>
      </c>
      <c r="D9" s="56">
        <v>21770</v>
      </c>
      <c r="E9" s="56">
        <v>2862</v>
      </c>
    </row>
    <row r="10" spans="1:5" x14ac:dyDescent="0.25">
      <c r="A10" s="55">
        <v>1998</v>
      </c>
      <c r="B10" s="56">
        <v>23556</v>
      </c>
      <c r="C10" s="56">
        <v>2096</v>
      </c>
      <c r="D10" s="56">
        <v>23608</v>
      </c>
      <c r="E10" s="56">
        <v>2593</v>
      </c>
    </row>
    <row r="11" spans="1:5" x14ac:dyDescent="0.25">
      <c r="A11" s="55">
        <v>1999</v>
      </c>
      <c r="B11" s="56">
        <v>29221</v>
      </c>
      <c r="C11" s="56">
        <v>1648</v>
      </c>
      <c r="D11" s="56">
        <v>30336</v>
      </c>
      <c r="E11" s="56">
        <v>2260</v>
      </c>
    </row>
    <row r="12" spans="1:5" x14ac:dyDescent="0.25">
      <c r="A12" s="55">
        <v>2000</v>
      </c>
      <c r="B12" s="56">
        <v>29684</v>
      </c>
      <c r="C12" s="56">
        <v>2401</v>
      </c>
      <c r="D12" s="56">
        <v>31711</v>
      </c>
      <c r="E12" s="56">
        <v>1729</v>
      </c>
    </row>
    <row r="13" spans="1:5" x14ac:dyDescent="0.25">
      <c r="A13" s="55">
        <v>2001</v>
      </c>
      <c r="B13" s="56">
        <v>29538</v>
      </c>
      <c r="C13" s="56">
        <v>2020</v>
      </c>
      <c r="D13" s="56">
        <v>32777</v>
      </c>
      <c r="E13" s="56">
        <v>2450</v>
      </c>
    </row>
    <row r="14" spans="1:5" x14ac:dyDescent="0.25">
      <c r="A14" s="55">
        <v>2002</v>
      </c>
      <c r="B14" s="56">
        <v>32089</v>
      </c>
      <c r="C14" s="56">
        <v>2203</v>
      </c>
      <c r="D14" s="56">
        <v>35212</v>
      </c>
      <c r="E14" s="56">
        <v>4622</v>
      </c>
    </row>
    <row r="15" spans="1:5" x14ac:dyDescent="0.25">
      <c r="A15" s="55">
        <v>2003</v>
      </c>
      <c r="B15" s="56">
        <v>26436</v>
      </c>
      <c r="C15" s="56">
        <v>1672</v>
      </c>
      <c r="D15" s="56">
        <v>25609</v>
      </c>
      <c r="E15" s="56">
        <v>4990</v>
      </c>
    </row>
    <row r="16" spans="1:5" x14ac:dyDescent="0.25">
      <c r="A16" s="55">
        <v>2004</v>
      </c>
      <c r="B16" s="56">
        <v>22910</v>
      </c>
      <c r="C16" s="56">
        <v>615</v>
      </c>
      <c r="D16" s="56">
        <v>23220</v>
      </c>
      <c r="E16" s="56">
        <v>7931</v>
      </c>
    </row>
    <row r="17" spans="1:7" x14ac:dyDescent="0.25">
      <c r="A17" s="55">
        <v>2005</v>
      </c>
      <c r="B17" s="56">
        <v>24798</v>
      </c>
      <c r="C17" s="56">
        <v>1136</v>
      </c>
      <c r="D17" s="56">
        <v>28538</v>
      </c>
      <c r="E17" s="56">
        <v>8370</v>
      </c>
    </row>
    <row r="18" spans="1:7" x14ac:dyDescent="0.25">
      <c r="A18" s="55">
        <v>2006</v>
      </c>
      <c r="B18" s="56">
        <v>28668</v>
      </c>
      <c r="C18" s="56">
        <v>1127</v>
      </c>
      <c r="D18" s="56">
        <v>33472</v>
      </c>
      <c r="E18" s="56">
        <v>8108</v>
      </c>
    </row>
    <row r="19" spans="1:7" x14ac:dyDescent="0.25">
      <c r="A19" s="55">
        <v>2007</v>
      </c>
      <c r="B19" s="56">
        <v>29440</v>
      </c>
      <c r="C19" s="56">
        <v>1355</v>
      </c>
      <c r="D19" s="56">
        <v>34212</v>
      </c>
      <c r="E19" s="56">
        <v>7335</v>
      </c>
    </row>
    <row r="20" spans="1:7" x14ac:dyDescent="0.25">
      <c r="A20" s="55">
        <v>2008</v>
      </c>
      <c r="B20" s="56">
        <v>28702</v>
      </c>
      <c r="C20" s="56">
        <v>1445</v>
      </c>
      <c r="D20" s="56">
        <v>33793</v>
      </c>
      <c r="E20" s="56">
        <v>6988</v>
      </c>
    </row>
    <row r="21" spans="1:7" x14ac:dyDescent="0.25">
      <c r="A21" s="55">
        <v>2009</v>
      </c>
      <c r="B21" s="56">
        <v>30736</v>
      </c>
      <c r="C21" s="56">
        <v>1710</v>
      </c>
      <c r="D21" s="56">
        <v>32262</v>
      </c>
      <c r="E21" s="56">
        <v>7256</v>
      </c>
    </row>
    <row r="22" spans="1:7" x14ac:dyDescent="0.25">
      <c r="A22" s="55">
        <v>2010</v>
      </c>
      <c r="B22" s="56">
        <v>32848</v>
      </c>
      <c r="C22" s="56">
        <v>3414</v>
      </c>
      <c r="D22" s="56">
        <v>31001</v>
      </c>
      <c r="E22" s="56">
        <v>5612</v>
      </c>
    </row>
    <row r="23" spans="1:7" x14ac:dyDescent="0.25">
      <c r="A23" s="55">
        <v>2011</v>
      </c>
      <c r="B23" s="56">
        <v>36561</v>
      </c>
      <c r="C23" s="56">
        <v>3359</v>
      </c>
      <c r="D23" s="56">
        <v>35427</v>
      </c>
      <c r="E23" s="56">
        <v>5406</v>
      </c>
    </row>
    <row r="24" spans="1:7" x14ac:dyDescent="0.25">
      <c r="A24" s="55">
        <v>2012</v>
      </c>
      <c r="B24" s="56">
        <v>43616</v>
      </c>
      <c r="C24" s="56">
        <v>2934</v>
      </c>
      <c r="D24" s="56">
        <v>36000</v>
      </c>
      <c r="E24" s="56">
        <v>4822</v>
      </c>
    </row>
    <row r="25" spans="1:7" x14ac:dyDescent="0.25">
      <c r="A25" s="55">
        <v>2013</v>
      </c>
      <c r="B25" s="56">
        <v>38855</v>
      </c>
      <c r="C25" s="56">
        <v>3644</v>
      </c>
      <c r="D25" s="56">
        <v>31755</v>
      </c>
      <c r="E25" s="56">
        <v>5291</v>
      </c>
      <c r="G25" s="1"/>
    </row>
    <row r="26" spans="1:7" x14ac:dyDescent="0.25">
      <c r="A26" s="55">
        <v>2014</v>
      </c>
      <c r="B26" s="56">
        <v>37313</v>
      </c>
      <c r="C26" s="56">
        <v>1566.8799999999999</v>
      </c>
      <c r="D26" s="56">
        <v>30845.200000000001</v>
      </c>
      <c r="E26" s="56">
        <v>5246.25</v>
      </c>
    </row>
    <row r="27" spans="1:7" x14ac:dyDescent="0.25">
      <c r="A27" s="55">
        <v>2015</v>
      </c>
      <c r="B27" s="56">
        <v>31537</v>
      </c>
      <c r="C27" s="56">
        <v>510</v>
      </c>
      <c r="D27" s="56">
        <v>23122</v>
      </c>
      <c r="E27" s="56">
        <v>3488</v>
      </c>
    </row>
    <row r="28" spans="1:7" x14ac:dyDescent="0.25">
      <c r="A28" s="55">
        <v>2016</v>
      </c>
      <c r="B28" s="56">
        <v>23342</v>
      </c>
      <c r="C28" s="56">
        <v>336</v>
      </c>
      <c r="D28" s="56">
        <v>19483</v>
      </c>
      <c r="E28" s="56">
        <v>1966</v>
      </c>
    </row>
    <row r="29" spans="1:7" x14ac:dyDescent="0.25">
      <c r="A29" s="55">
        <v>2017</v>
      </c>
      <c r="B29" s="56">
        <v>37080</v>
      </c>
      <c r="C29" s="56">
        <v>351</v>
      </c>
      <c r="D29" s="56">
        <v>47181</v>
      </c>
      <c r="E29" s="56">
        <v>3652</v>
      </c>
    </row>
    <row r="30" spans="1:7" x14ac:dyDescent="0.25">
      <c r="A30" s="55">
        <v>2018</v>
      </c>
      <c r="B30" s="56">
        <v>53054</v>
      </c>
      <c r="C30" s="56">
        <v>287</v>
      </c>
      <c r="D30" s="56">
        <v>69703</v>
      </c>
      <c r="E30" s="56">
        <v>4741</v>
      </c>
    </row>
    <row r="31" spans="1:7" x14ac:dyDescent="0.25">
      <c r="A31" s="55">
        <v>2019</v>
      </c>
      <c r="B31" s="56">
        <v>54036</v>
      </c>
      <c r="C31" s="56">
        <v>303</v>
      </c>
      <c r="D31" s="56">
        <v>73246</v>
      </c>
      <c r="E31" s="56">
        <v>4412</v>
      </c>
    </row>
    <row r="32" spans="1:7" x14ac:dyDescent="0.25">
      <c r="A32" s="55">
        <v>2020</v>
      </c>
      <c r="B32" s="56">
        <v>30351</v>
      </c>
      <c r="C32" s="56">
        <v>147</v>
      </c>
      <c r="D32" s="56">
        <v>49079</v>
      </c>
      <c r="E32" s="56">
        <v>2729</v>
      </c>
    </row>
    <row r="33" spans="1:5" x14ac:dyDescent="0.25">
      <c r="A33" s="55"/>
      <c r="B33" s="56"/>
      <c r="C33" s="56"/>
      <c r="D33" s="56"/>
      <c r="E33" s="56"/>
    </row>
    <row r="34" spans="1:5" x14ac:dyDescent="0.25">
      <c r="A34" s="57"/>
      <c r="B34" s="58"/>
      <c r="C34" s="58"/>
      <c r="D34" s="58"/>
      <c r="E34" s="58"/>
    </row>
    <row r="35" spans="1:5" x14ac:dyDescent="0.25">
      <c r="A35" s="49"/>
      <c r="B35" s="41"/>
      <c r="C35" s="41"/>
      <c r="D35" s="41"/>
      <c r="E35" s="59"/>
    </row>
    <row r="36" spans="1:5" x14ac:dyDescent="0.25">
      <c r="A36" s="86" t="s">
        <v>30</v>
      </c>
      <c r="B36" s="90"/>
      <c r="C36" s="90"/>
      <c r="D36" s="71"/>
      <c r="E36" s="48"/>
    </row>
    <row r="37" spans="1:5" ht="15.75" hidden="1" customHeight="1" x14ac:dyDescent="0.25">
      <c r="A37" s="86" t="s">
        <v>31</v>
      </c>
      <c r="B37" s="90"/>
      <c r="C37" s="90"/>
      <c r="D37" s="90"/>
      <c r="E37" s="45"/>
    </row>
    <row r="38" spans="1:5" ht="15.75" hidden="1" customHeight="1" x14ac:dyDescent="0.25">
      <c r="A38" s="86" t="s">
        <v>32</v>
      </c>
      <c r="B38" s="90"/>
      <c r="C38" s="90"/>
      <c r="D38" s="90"/>
      <c r="E38" s="45"/>
    </row>
    <row r="39" spans="1:5" x14ac:dyDescent="0.25">
      <c r="A39" s="73"/>
      <c r="B39" s="71"/>
      <c r="C39" s="71"/>
      <c r="D39" s="71"/>
      <c r="E39" s="45"/>
    </row>
    <row r="40" spans="1:5" x14ac:dyDescent="0.25">
      <c r="A40" s="74" t="s">
        <v>33</v>
      </c>
      <c r="B40" s="75"/>
      <c r="C40" s="75"/>
      <c r="D40" s="75"/>
      <c r="E40" s="45"/>
    </row>
    <row r="41" spans="1:5" x14ac:dyDescent="0.25">
      <c r="A41" s="50"/>
      <c r="B41" s="51"/>
      <c r="C41" s="51"/>
      <c r="D41" s="52"/>
      <c r="E41" s="53"/>
    </row>
  </sheetData>
  <mergeCells count="7">
    <mergeCell ref="A38:D38"/>
    <mergeCell ref="B5:B6"/>
    <mergeCell ref="C5:C6"/>
    <mergeCell ref="D5:D6"/>
    <mergeCell ref="E5:E6"/>
    <mergeCell ref="A36:C36"/>
    <mergeCell ref="A37:D37"/>
  </mergeCells>
  <hyperlinks>
    <hyperlink ref="A1" location="Table_of_Contents!A1" display="Back to the table of contents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Table_of_Contents</vt:lpstr>
      <vt:lpstr>Monthly_Data</vt:lpstr>
      <vt:lpstr>Quarterly_Data</vt:lpstr>
      <vt:lpstr>Annually_Data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NAHIMANA EGIDE</dc:creator>
  <cp:lastModifiedBy>NSABIMANA Avélin</cp:lastModifiedBy>
  <cp:lastPrinted>2014-05-27T09:18:33Z</cp:lastPrinted>
  <dcterms:created xsi:type="dcterms:W3CDTF">2000-08-22T08:22:46Z</dcterms:created>
  <dcterms:modified xsi:type="dcterms:W3CDTF">2021-03-01T13:52:21Z</dcterms:modified>
</cp:coreProperties>
</file>