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1314\Documents\2021\Statistiques du secteur réel,décembre 2020\Base de données\Dec 2020 English V\"/>
    </mc:Choice>
  </mc:AlternateContent>
  <bookViews>
    <workbookView xWindow="0" yWindow="0" windowWidth="20490" windowHeight="7020" firstSheet="1" activeTab="2"/>
  </bookViews>
  <sheets>
    <sheet name="Table_of_Contents" sheetId="7" r:id="rId1"/>
    <sheet name="Monthly_Data" sheetId="4" r:id="rId2"/>
    <sheet name="Quarterly_Data" sheetId="5" r:id="rId3"/>
    <sheet name="Annually_Data" sheetId="6" r:id="rId4"/>
  </sheets>
  <definedNames>
    <definedName name="Zone_impres_MI">#REF!</definedName>
  </definedNames>
  <calcPr calcId="162913"/>
</workbook>
</file>

<file path=xl/calcChain.xml><?xml version="1.0" encoding="utf-8"?>
<calcChain xmlns="http://schemas.openxmlformats.org/spreadsheetml/2006/main">
  <c r="C16" i="6" l="1"/>
  <c r="E16" i="6"/>
  <c r="B11" i="6"/>
  <c r="C10" i="6"/>
  <c r="D10" i="6"/>
  <c r="E10" i="6"/>
  <c r="B10" i="6"/>
  <c r="D34" i="5"/>
  <c r="D16" i="6" s="1"/>
  <c r="B34" i="5"/>
  <c r="B16" i="6"/>
  <c r="D33" i="5"/>
  <c r="B33" i="5"/>
  <c r="D32" i="5"/>
  <c r="B32" i="5"/>
  <c r="D31" i="5"/>
  <c r="B31" i="5"/>
  <c r="C35" i="5"/>
  <c r="D35" i="5"/>
  <c r="E35" i="5"/>
  <c r="C36" i="5"/>
  <c r="D36" i="5"/>
  <c r="E36" i="5"/>
  <c r="C37" i="5"/>
  <c r="D37" i="5"/>
  <c r="E37" i="5"/>
  <c r="C38" i="5"/>
  <c r="C17" i="6" s="1"/>
  <c r="D38" i="5"/>
  <c r="D17" i="6" s="1"/>
  <c r="E38" i="5"/>
  <c r="E17" i="6" s="1"/>
  <c r="C39" i="5"/>
  <c r="D39" i="5"/>
  <c r="E39" i="5"/>
  <c r="C40" i="5"/>
  <c r="D40" i="5"/>
  <c r="E40" i="5"/>
  <c r="C41" i="5"/>
  <c r="D41" i="5"/>
  <c r="E41" i="5"/>
  <c r="C42" i="5"/>
  <c r="C18" i="6" s="1"/>
  <c r="D42" i="5"/>
  <c r="D18" i="6" s="1"/>
  <c r="E42" i="5"/>
  <c r="E18" i="6" s="1"/>
  <c r="C43" i="5"/>
  <c r="D43" i="5"/>
  <c r="E43" i="5"/>
  <c r="C44" i="5"/>
  <c r="D44" i="5"/>
  <c r="E44" i="5"/>
  <c r="C45" i="5"/>
  <c r="D45" i="5"/>
  <c r="E45" i="5"/>
  <c r="C46" i="5"/>
  <c r="C19" i="6" s="1"/>
  <c r="D46" i="5"/>
  <c r="D19" i="6" s="1"/>
  <c r="E46" i="5"/>
  <c r="E19" i="6" s="1"/>
  <c r="C47" i="5"/>
  <c r="D47" i="5"/>
  <c r="E47" i="5"/>
  <c r="C48" i="5"/>
  <c r="D48" i="5"/>
  <c r="E48" i="5"/>
  <c r="C49" i="5"/>
  <c r="D49" i="5"/>
  <c r="E49" i="5"/>
  <c r="C50" i="5"/>
  <c r="C20" i="6" s="1"/>
  <c r="D50" i="5"/>
  <c r="D20" i="6" s="1"/>
  <c r="E50" i="5"/>
  <c r="E20" i="6" s="1"/>
  <c r="C51" i="5"/>
  <c r="D51" i="5"/>
  <c r="E51" i="5"/>
  <c r="C52" i="5"/>
  <c r="D52" i="5"/>
  <c r="E52" i="5"/>
  <c r="C53" i="5"/>
  <c r="D53" i="5"/>
  <c r="E53" i="5"/>
  <c r="C54" i="5"/>
  <c r="C21" i="6" s="1"/>
  <c r="D54" i="5"/>
  <c r="D21" i="6" s="1"/>
  <c r="E54" i="5"/>
  <c r="E21" i="6" s="1"/>
  <c r="C55" i="5"/>
  <c r="D55" i="5"/>
  <c r="E55" i="5"/>
  <c r="C56" i="5"/>
  <c r="D56" i="5"/>
  <c r="E56" i="5"/>
  <c r="C58" i="5"/>
  <c r="C22" i="6" s="1"/>
  <c r="D58" i="5"/>
  <c r="D22" i="6" s="1"/>
  <c r="E58" i="5"/>
  <c r="E22" i="6" s="1"/>
  <c r="C59" i="5"/>
  <c r="D59" i="5"/>
  <c r="E59" i="5"/>
  <c r="C60" i="5"/>
  <c r="D60" i="5"/>
  <c r="E60" i="5"/>
  <c r="C61" i="5"/>
  <c r="D61" i="5"/>
  <c r="E61" i="5"/>
  <c r="C62" i="5"/>
  <c r="C23" i="6" s="1"/>
  <c r="D62" i="5"/>
  <c r="D23" i="6" s="1"/>
  <c r="E62" i="5"/>
  <c r="E23" i="6" s="1"/>
  <c r="C63" i="5"/>
  <c r="D63" i="5"/>
  <c r="E63" i="5"/>
  <c r="C64" i="5"/>
  <c r="D64" i="5"/>
  <c r="E64" i="5"/>
  <c r="C65" i="5"/>
  <c r="D65" i="5"/>
  <c r="E65" i="5"/>
  <c r="C66" i="5"/>
  <c r="C24" i="6" s="1"/>
  <c r="D66" i="5"/>
  <c r="D24" i="6" s="1"/>
  <c r="E66" i="5"/>
  <c r="E24" i="6" s="1"/>
  <c r="C67" i="5"/>
  <c r="D67" i="5"/>
  <c r="E67" i="5"/>
  <c r="C68" i="5"/>
  <c r="D68" i="5"/>
  <c r="E68" i="5"/>
  <c r="C69" i="5"/>
  <c r="D69" i="5"/>
  <c r="E69" i="5"/>
  <c r="C70" i="5"/>
  <c r="C25" i="6" s="1"/>
  <c r="D70" i="5"/>
  <c r="D25" i="6" s="1"/>
  <c r="E70" i="5"/>
  <c r="E25" i="6" s="1"/>
  <c r="C71" i="5"/>
  <c r="D71" i="5"/>
  <c r="E71" i="5"/>
  <c r="C72" i="5"/>
  <c r="D72" i="5"/>
  <c r="E72" i="5"/>
  <c r="C73" i="5"/>
  <c r="D73" i="5"/>
  <c r="E73" i="5"/>
  <c r="C74" i="5"/>
  <c r="C26" i="6" s="1"/>
  <c r="D74" i="5"/>
  <c r="D26" i="6" s="1"/>
  <c r="E74" i="5"/>
  <c r="E26" i="6" s="1"/>
  <c r="C75" i="5"/>
  <c r="D75" i="5"/>
  <c r="E75" i="5"/>
  <c r="C76" i="5"/>
  <c r="D76" i="5"/>
  <c r="E76" i="5"/>
  <c r="C77" i="5"/>
  <c r="D77" i="5"/>
  <c r="E77" i="5"/>
  <c r="C78" i="5"/>
  <c r="C27" i="6" s="1"/>
  <c r="D78" i="5"/>
  <c r="D27" i="6" s="1"/>
  <c r="E78" i="5"/>
  <c r="E27" i="6" s="1"/>
  <c r="C79" i="5"/>
  <c r="D79" i="5"/>
  <c r="E79" i="5"/>
  <c r="C80" i="5"/>
  <c r="D80" i="5"/>
  <c r="E80" i="5"/>
  <c r="C81" i="5"/>
  <c r="D81" i="5"/>
  <c r="E81" i="5"/>
  <c r="C82" i="5"/>
  <c r="C28" i="6" s="1"/>
  <c r="D82" i="5"/>
  <c r="D28" i="6" s="1"/>
  <c r="E82" i="5"/>
  <c r="E28" i="6" s="1"/>
  <c r="C83" i="5"/>
  <c r="D83" i="5"/>
  <c r="E83" i="5"/>
  <c r="C84" i="5"/>
  <c r="D84" i="5"/>
  <c r="E84" i="5"/>
  <c r="C23" i="5"/>
  <c r="E23" i="5"/>
  <c r="C25" i="5"/>
  <c r="D25" i="5"/>
  <c r="E25" i="5"/>
  <c r="C26" i="5"/>
  <c r="D26" i="5"/>
  <c r="E26" i="5"/>
  <c r="C27" i="5"/>
  <c r="E27" i="5"/>
  <c r="C28" i="5"/>
  <c r="E28" i="5"/>
  <c r="C29" i="5"/>
  <c r="E29" i="5"/>
  <c r="C30" i="5"/>
  <c r="C15" i="6" s="1"/>
  <c r="E30" i="5"/>
  <c r="E15" i="6" s="1"/>
  <c r="C15" i="5"/>
  <c r="E15" i="5"/>
  <c r="C16" i="5"/>
  <c r="E16" i="5"/>
  <c r="C17" i="5"/>
  <c r="E17" i="5"/>
  <c r="C18" i="5"/>
  <c r="E18" i="5"/>
  <c r="B84" i="5"/>
  <c r="B83" i="5"/>
  <c r="B82" i="5"/>
  <c r="B28" i="6" s="1"/>
  <c r="B81" i="5"/>
  <c r="B80" i="5"/>
  <c r="B79" i="5"/>
  <c r="B78" i="5"/>
  <c r="B27" i="6" s="1"/>
  <c r="B77" i="5"/>
  <c r="B76" i="5"/>
  <c r="B75" i="5"/>
  <c r="B74" i="5"/>
  <c r="B26" i="6" s="1"/>
  <c r="B73" i="5"/>
  <c r="B72" i="5"/>
  <c r="B71" i="5"/>
  <c r="B70" i="5"/>
  <c r="B25" i="6" s="1"/>
  <c r="B69" i="5"/>
  <c r="B68" i="5"/>
  <c r="B67" i="5"/>
  <c r="B66" i="5"/>
  <c r="B24" i="6" s="1"/>
  <c r="B65" i="5"/>
  <c r="B64" i="5"/>
  <c r="B63" i="5"/>
  <c r="B62" i="5"/>
  <c r="B23" i="6" s="1"/>
  <c r="B61" i="5"/>
  <c r="B60" i="5"/>
  <c r="B59" i="5"/>
  <c r="B58" i="5"/>
  <c r="B22" i="6" s="1"/>
  <c r="B56" i="5"/>
  <c r="B55" i="5"/>
  <c r="B54" i="5"/>
  <c r="B21" i="6" s="1"/>
  <c r="B53" i="5"/>
  <c r="B52" i="5"/>
  <c r="B51" i="5"/>
  <c r="B50" i="5"/>
  <c r="B20" i="6" s="1"/>
  <c r="B49" i="5"/>
  <c r="B48" i="5"/>
  <c r="B47" i="5"/>
  <c r="B46" i="5"/>
  <c r="B19" i="6" s="1"/>
  <c r="B45" i="5"/>
  <c r="B44" i="5"/>
  <c r="B43" i="5"/>
  <c r="B42" i="5"/>
  <c r="B18" i="6" s="1"/>
  <c r="B41" i="5"/>
  <c r="B40" i="5"/>
  <c r="B39" i="5"/>
  <c r="B38" i="5"/>
  <c r="B17" i="6" s="1"/>
  <c r="B37" i="5"/>
  <c r="B36" i="5"/>
  <c r="B35" i="5"/>
  <c r="B26" i="5"/>
  <c r="B14" i="6" s="1"/>
  <c r="B25" i="5"/>
  <c r="D42" i="4"/>
  <c r="D30" i="5" s="1"/>
  <c r="D15" i="6" s="1"/>
  <c r="B42" i="4"/>
  <c r="B30" i="5"/>
  <c r="B15" i="6" s="1"/>
  <c r="D41" i="4"/>
  <c r="B41" i="4"/>
  <c r="D40" i="4"/>
  <c r="B40" i="4"/>
  <c r="D39" i="4"/>
  <c r="D29" i="5" s="1"/>
  <c r="B39" i="4"/>
  <c r="B29" i="5"/>
  <c r="D38" i="4"/>
  <c r="B38" i="4"/>
  <c r="D37" i="4"/>
  <c r="B37" i="4"/>
  <c r="D36" i="4"/>
  <c r="D28" i="5" s="1"/>
  <c r="B36" i="4"/>
  <c r="B28" i="5"/>
  <c r="D35" i="4"/>
  <c r="B35" i="4"/>
  <c r="D34" i="4"/>
  <c r="B34" i="4"/>
  <c r="D33" i="4"/>
  <c r="D27" i="5" s="1"/>
  <c r="B33" i="4"/>
  <c r="B27" i="5"/>
  <c r="D32" i="4"/>
  <c r="B32" i="4"/>
  <c r="D31" i="4"/>
  <c r="B31" i="4"/>
  <c r="E163" i="4"/>
  <c r="D163" i="4"/>
  <c r="C163" i="4"/>
  <c r="B163" i="4"/>
  <c r="D155" i="4"/>
  <c r="E112" i="4"/>
  <c r="D112" i="4"/>
  <c r="C112" i="4"/>
  <c r="B112" i="4"/>
  <c r="E111" i="4"/>
  <c r="E57" i="5"/>
  <c r="D111" i="4"/>
  <c r="D57" i="5"/>
  <c r="C111" i="4"/>
  <c r="C57" i="5" s="1"/>
  <c r="B111" i="4"/>
  <c r="B57" i="5" s="1"/>
  <c r="E110" i="4"/>
  <c r="D110" i="4"/>
  <c r="C110" i="4"/>
  <c r="B110" i="4"/>
  <c r="D23" i="4"/>
  <c r="B23" i="4"/>
  <c r="D22" i="4"/>
  <c r="B22" i="4"/>
  <c r="D21" i="4"/>
  <c r="D23" i="5"/>
  <c r="B21" i="4"/>
  <c r="B23" i="5"/>
  <c r="D20" i="4"/>
  <c r="B20" i="4"/>
  <c r="D19" i="4"/>
  <c r="C19" i="4"/>
  <c r="B19" i="4"/>
  <c r="D18" i="4"/>
  <c r="D18" i="5"/>
  <c r="B18" i="4"/>
  <c r="B18" i="5"/>
  <c r="B12" i="6" s="1"/>
  <c r="D17" i="4"/>
  <c r="B17" i="4"/>
  <c r="D16" i="4"/>
  <c r="B16" i="4"/>
  <c r="D15" i="4"/>
  <c r="D17" i="5"/>
  <c r="B15" i="4"/>
  <c r="B17" i="5"/>
  <c r="D14" i="4"/>
  <c r="B14" i="4"/>
  <c r="D13" i="4"/>
  <c r="B13" i="4"/>
  <c r="D12" i="4"/>
  <c r="D16" i="5"/>
  <c r="B12" i="4"/>
  <c r="B16" i="5"/>
  <c r="D11" i="4"/>
  <c r="B11" i="4"/>
  <c r="D10" i="4"/>
  <c r="B10" i="4"/>
  <c r="D9" i="4"/>
  <c r="D15" i="5"/>
  <c r="B9" i="4"/>
  <c r="B15" i="5"/>
  <c r="D8" i="4"/>
  <c r="B8" i="4"/>
  <c r="D7" i="4"/>
  <c r="B7" i="4"/>
</calcChain>
</file>

<file path=xl/sharedStrings.xml><?xml version="1.0" encoding="utf-8"?>
<sst xmlns="http://schemas.openxmlformats.org/spreadsheetml/2006/main" count="98" uniqueCount="64">
  <si>
    <t xml:space="preserve"> </t>
  </si>
  <si>
    <t xml:space="preserve">  J.P.1</t>
  </si>
  <si>
    <t>1995</t>
  </si>
  <si>
    <t>1996</t>
  </si>
  <si>
    <t>1997</t>
  </si>
  <si>
    <t>1998</t>
  </si>
  <si>
    <t>V.6</t>
  </si>
  <si>
    <t>2004</t>
  </si>
  <si>
    <t>2006</t>
  </si>
  <si>
    <t>2003</t>
  </si>
  <si>
    <t>2002</t>
  </si>
  <si>
    <t>2007</t>
  </si>
  <si>
    <t>2008</t>
  </si>
  <si>
    <t>2009</t>
  </si>
  <si>
    <t>2005</t>
  </si>
  <si>
    <t>2010</t>
  </si>
  <si>
    <t>2011</t>
  </si>
  <si>
    <t>2012</t>
  </si>
  <si>
    <t>2013</t>
  </si>
  <si>
    <t>2014</t>
  </si>
  <si>
    <t>2015</t>
  </si>
  <si>
    <t>2016</t>
  </si>
  <si>
    <t>2017</t>
  </si>
  <si>
    <t>1999</t>
  </si>
  <si>
    <t>2000</t>
  </si>
  <si>
    <t>2001</t>
  </si>
  <si>
    <t>Excel File Name:</t>
  </si>
  <si>
    <t>Available from Web Page:</t>
  </si>
  <si>
    <t>http://www.brb.bi/fr/content/autres</t>
  </si>
  <si>
    <t xml:space="preserve">                                                  </t>
  </si>
  <si>
    <t>BANQUE DE LA REPUBLIQUE</t>
  </si>
  <si>
    <r>
      <t xml:space="preserve">         </t>
    </r>
    <r>
      <rPr>
        <b/>
        <u/>
        <sz val="12"/>
        <rFont val="Garamond"/>
        <family val="1"/>
      </rPr>
      <t>DU BURUNDI</t>
    </r>
  </si>
  <si>
    <t>2018</t>
  </si>
  <si>
    <t>Table of Contents</t>
  </si>
  <si>
    <t>Click here to see the data</t>
  </si>
  <si>
    <t>Name of sheets</t>
  </si>
  <si>
    <t>Description of the data</t>
  </si>
  <si>
    <t>Frequency</t>
  </si>
  <si>
    <t>Last date of publication</t>
  </si>
  <si>
    <t>Monthly</t>
  </si>
  <si>
    <t>Quarterly</t>
  </si>
  <si>
    <t>Annually</t>
  </si>
  <si>
    <t>Date of Publication</t>
  </si>
  <si>
    <t>Last date of Publication</t>
  </si>
  <si>
    <t xml:space="preserve">STOCKS OF MAIN PETROLEUM PRODUCTS  </t>
  </si>
  <si>
    <t>Stocks of main petroleum products</t>
  </si>
  <si>
    <t>Stocks of main petroleum products.xls</t>
  </si>
  <si>
    <t>Main petroleum Products</t>
  </si>
  <si>
    <t>Primium fuel</t>
  </si>
  <si>
    <t>Petroleum Oil for lamps</t>
  </si>
  <si>
    <t xml:space="preserve">  Gas oil</t>
  </si>
  <si>
    <t>Product</t>
  </si>
  <si>
    <t xml:space="preserve">  Petroleum Oil for lamps</t>
  </si>
  <si>
    <t>Period</t>
  </si>
  <si>
    <t xml:space="preserve">                                                                    STOCKS OF MAIN   PETROLEUM PRODUCTS(1)  (in thousands of  liter)</t>
  </si>
  <si>
    <t xml:space="preserve">                                                                                                       STOCKS OF MAIN   PETROLEUM PRODUCTS(1)  (in thousands of  liter)</t>
  </si>
  <si>
    <t xml:space="preserve">             STOCKS OF MAIN   PETROLEUM PRODUCTS(1)  (in thousands of  liter)</t>
  </si>
  <si>
    <t xml:space="preserve">  (1) : Quantity received by  S.E.P.</t>
  </si>
  <si>
    <t xml:space="preserve">  (2) : y compris les données de la S.E.P. Gitega </t>
  </si>
  <si>
    <r>
      <t xml:space="preserve">  </t>
    </r>
    <r>
      <rPr>
        <sz val="10"/>
        <rFont val="Calibri"/>
        <family val="2"/>
      </rPr>
      <t>( * )</t>
    </r>
    <r>
      <rPr>
        <sz val="12"/>
        <rFont val="Calibri"/>
        <family val="2"/>
      </rPr>
      <t xml:space="preserve"> : Non compris les données de la S.E.P. Gitega à partir de l'année 2003 </t>
    </r>
  </si>
  <si>
    <t>Source : S.E.P.</t>
  </si>
  <si>
    <t>Back to the table of contents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</si>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</sst>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-;\-* #,##0.00\ _F_-;_-* &quot;-&quot;??\ _F_-;_-@_-"/>
    <numFmt numFmtId="165" formatCode="0.0_)"/>
    <numFmt numFmtId="166" formatCode="[$-409]dd\-mmm\-yy;@"/>
    <numFmt numFmtId="167" formatCode="General_)"/>
    <numFmt numFmtId="168" formatCode="[$-40C]mmm\-yy;@"/>
    <numFmt numFmtId="169" formatCode="[$-409]mmm\-yy;@"/>
  </numFmts>
  <fonts count="18" x14ac:knownFonts="1">
    <font>
      <sz val="12"/>
      <name val="Helv"/>
    </font>
    <font>
      <sz val="10"/>
      <name val="Arial"/>
      <family val="2"/>
    </font>
    <font>
      <u/>
      <sz val="12"/>
      <color indexed="12"/>
      <name val="Helv"/>
    </font>
    <font>
      <u/>
      <sz val="12"/>
      <color indexed="12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u/>
      <sz val="12"/>
      <name val="Garamond"/>
      <family val="1"/>
    </font>
    <font>
      <sz val="12"/>
      <name val="Calibri"/>
      <family val="2"/>
    </font>
    <font>
      <sz val="10"/>
      <name val="Calibri"/>
      <family val="2"/>
    </font>
    <font>
      <sz val="12"/>
      <color rgb="FFFF0000"/>
      <name val="Helv"/>
    </font>
    <font>
      <sz val="12"/>
      <color theme="1"/>
      <name val="Garamond"/>
      <family val="1"/>
    </font>
    <font>
      <b/>
      <sz val="14"/>
      <color rgb="FF002060"/>
      <name val="Garamond"/>
      <family val="1"/>
    </font>
    <font>
      <b/>
      <i/>
      <sz val="14"/>
      <color rgb="FF0070C0"/>
      <name val="Garamond"/>
      <family val="1"/>
    </font>
    <font>
      <b/>
      <sz val="12"/>
      <color theme="0"/>
      <name val="Garamond"/>
      <family val="1"/>
    </font>
    <font>
      <sz val="12"/>
      <color rgb="FF0070C0"/>
      <name val="Garamond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37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105">
    <xf numFmtId="37" fontId="0" fillId="0" borderId="0" xfId="0"/>
    <xf numFmtId="3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/>
    <xf numFmtId="37" fontId="0" fillId="0" borderId="0" xfId="0" applyBorder="1"/>
    <xf numFmtId="164" fontId="0" fillId="0" borderId="0" xfId="2" applyFont="1"/>
    <xf numFmtId="37" fontId="0" fillId="0" borderId="2" xfId="0" applyBorder="1"/>
    <xf numFmtId="37" fontId="9" fillId="0" borderId="0" xfId="0" applyFont="1"/>
    <xf numFmtId="37" fontId="10" fillId="0" borderId="0" xfId="0" applyFont="1"/>
    <xf numFmtId="37" fontId="11" fillId="0" borderId="0" xfId="0" applyFont="1"/>
    <xf numFmtId="37" fontId="12" fillId="0" borderId="0" xfId="0" applyFont="1"/>
    <xf numFmtId="37" fontId="13" fillId="2" borderId="3" xfId="0" applyFont="1" applyFill="1" applyBorder="1"/>
    <xf numFmtId="37" fontId="10" fillId="3" borderId="0" xfId="0" applyFont="1" applyFill="1"/>
    <xf numFmtId="49" fontId="10" fillId="3" borderId="0" xfId="0" applyNumberFormat="1" applyFont="1" applyFill="1" applyAlignment="1">
      <alignment horizontal="right"/>
    </xf>
    <xf numFmtId="49" fontId="10" fillId="3" borderId="0" xfId="0" quotePrefix="1" applyNumberFormat="1" applyFont="1" applyFill="1" applyAlignment="1">
      <alignment horizontal="right"/>
    </xf>
    <xf numFmtId="37" fontId="14" fillId="3" borderId="4" xfId="0" applyFont="1" applyFill="1" applyBorder="1"/>
    <xf numFmtId="37" fontId="10" fillId="3" borderId="4" xfId="0" applyFont="1" applyFill="1" applyBorder="1"/>
    <xf numFmtId="166" fontId="10" fillId="0" borderId="0" xfId="0" applyNumberFormat="1" applyFont="1" applyAlignment="1">
      <alignment horizontal="left"/>
    </xf>
    <xf numFmtId="168" fontId="10" fillId="3" borderId="0" xfId="0" applyNumberFormat="1" applyFont="1" applyFill="1" applyAlignment="1">
      <alignment horizontal="right"/>
    </xf>
    <xf numFmtId="37" fontId="15" fillId="4" borderId="5" xfId="0" applyFont="1" applyFill="1" applyBorder="1" applyAlignment="1">
      <alignment horizontal="right"/>
    </xf>
    <xf numFmtId="37" fontId="16" fillId="4" borderId="5" xfId="0" applyFont="1" applyFill="1" applyBorder="1" applyAlignment="1">
      <alignment horizontal="right"/>
    </xf>
    <xf numFmtId="37" fontId="15" fillId="4" borderId="6" xfId="0" applyFont="1" applyFill="1" applyBorder="1" applyAlignment="1">
      <alignment horizontal="right"/>
    </xf>
    <xf numFmtId="37" fontId="15" fillId="4" borderId="7" xfId="0" applyFont="1" applyFill="1" applyBorder="1" applyAlignment="1">
      <alignment horizontal="right"/>
    </xf>
    <xf numFmtId="37" fontId="4" fillId="4" borderId="5" xfId="0" applyFont="1" applyFill="1" applyBorder="1" applyAlignment="1">
      <alignment horizontal="right"/>
    </xf>
    <xf numFmtId="37" fontId="5" fillId="4" borderId="8" xfId="0" applyFont="1" applyFill="1" applyBorder="1" applyAlignment="1">
      <alignment horizontal="right"/>
    </xf>
    <xf numFmtId="14" fontId="5" fillId="4" borderId="9" xfId="0" applyNumberFormat="1" applyFont="1" applyFill="1" applyBorder="1" applyAlignment="1">
      <alignment horizontal="center"/>
    </xf>
    <xf numFmtId="14" fontId="4" fillId="4" borderId="6" xfId="0" applyNumberFormat="1" applyFont="1" applyFill="1" applyBorder="1" applyAlignment="1">
      <alignment horizontal="right"/>
    </xf>
    <xf numFmtId="14" fontId="4" fillId="4" borderId="7" xfId="0" applyNumberFormat="1" applyFont="1" applyFill="1" applyBorder="1" applyAlignment="1">
      <alignment horizontal="right"/>
    </xf>
    <xf numFmtId="37" fontId="4" fillId="0" borderId="0" xfId="0" applyFont="1"/>
    <xf numFmtId="165" fontId="4" fillId="0" borderId="0" xfId="0" applyNumberFormat="1" applyFont="1" applyProtection="1"/>
    <xf numFmtId="3" fontId="4" fillId="0" borderId="0" xfId="0" applyNumberFormat="1" applyFont="1" applyFill="1" applyBorder="1" applyAlignment="1"/>
    <xf numFmtId="37" fontId="4" fillId="0" borderId="0" xfId="0" applyFont="1" applyBorder="1"/>
    <xf numFmtId="3" fontId="4" fillId="0" borderId="0" xfId="2" applyNumberFormat="1" applyFont="1" applyBorder="1" applyAlignment="1">
      <alignment horizontal="right"/>
    </xf>
    <xf numFmtId="3" fontId="4" fillId="0" borderId="0" xfId="0" applyNumberFormat="1" applyFont="1" applyBorder="1" applyAlignment="1"/>
    <xf numFmtId="3" fontId="4" fillId="0" borderId="0" xfId="0" applyNumberFormat="1" applyFont="1" applyBorder="1" applyAlignment="1">
      <alignment horizontal="right"/>
    </xf>
    <xf numFmtId="37" fontId="16" fillId="4" borderId="9" xfId="0" applyFont="1" applyFill="1" applyBorder="1" applyAlignment="1">
      <alignment horizontal="left"/>
    </xf>
    <xf numFmtId="37" fontId="3" fillId="0" borderId="0" xfId="1" applyNumberFormat="1" applyFont="1" applyFill="1" applyBorder="1" applyAlignment="1" applyProtection="1"/>
    <xf numFmtId="37" fontId="4" fillId="0" borderId="0" xfId="0" applyFont="1" applyFill="1" applyBorder="1" applyAlignment="1"/>
    <xf numFmtId="37" fontId="5" fillId="4" borderId="5" xfId="0" applyFont="1" applyFill="1" applyBorder="1" applyAlignment="1">
      <alignment horizontal="right"/>
    </xf>
    <xf numFmtId="37" fontId="5" fillId="4" borderId="9" xfId="0" applyFont="1" applyFill="1" applyBorder="1" applyAlignment="1">
      <alignment horizontal="center"/>
    </xf>
    <xf numFmtId="37" fontId="4" fillId="4" borderId="6" xfId="0" applyFont="1" applyFill="1" applyBorder="1" applyAlignment="1">
      <alignment horizontal="right"/>
    </xf>
    <xf numFmtId="37" fontId="4" fillId="4" borderId="7" xfId="0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7" fontId="10" fillId="0" borderId="0" xfId="0" applyFont="1" applyBorder="1"/>
    <xf numFmtId="37" fontId="5" fillId="0" borderId="0" xfId="0" applyFont="1" applyAlignment="1">
      <alignment horizontal="justify" vertical="center"/>
    </xf>
    <xf numFmtId="167" fontId="3" fillId="0" borderId="0" xfId="1" applyNumberFormat="1" applyFont="1" applyAlignment="1" applyProtection="1"/>
    <xf numFmtId="37" fontId="4" fillId="0" borderId="5" xfId="0" applyFont="1" applyFill="1" applyBorder="1" applyAlignment="1"/>
    <xf numFmtId="3" fontId="4" fillId="0" borderId="10" xfId="0" applyNumberFormat="1" applyFont="1" applyFill="1" applyBorder="1" applyAlignment="1"/>
    <xf numFmtId="3" fontId="4" fillId="0" borderId="11" xfId="0" applyNumberFormat="1" applyFont="1" applyFill="1" applyBorder="1" applyAlignment="1"/>
    <xf numFmtId="3" fontId="4" fillId="0" borderId="11" xfId="0" applyNumberFormat="1" applyFont="1" applyFill="1" applyBorder="1" applyAlignment="1">
      <alignment horizontal="right"/>
    </xf>
    <xf numFmtId="37" fontId="4" fillId="0" borderId="11" xfId="0" applyFont="1" applyFill="1" applyBorder="1" applyAlignment="1">
      <alignment horizontal="right"/>
    </xf>
    <xf numFmtId="37" fontId="4" fillId="0" borderId="9" xfId="0" applyFont="1" applyFill="1" applyBorder="1" applyAlignment="1"/>
    <xf numFmtId="37" fontId="4" fillId="0" borderId="7" xfId="0" applyFont="1" applyFill="1" applyBorder="1" applyAlignment="1"/>
    <xf numFmtId="37" fontId="4" fillId="0" borderId="2" xfId="0" applyFont="1" applyFill="1" applyBorder="1" applyAlignment="1"/>
    <xf numFmtId="37" fontId="4" fillId="0" borderId="1" xfId="0" applyFont="1" applyFill="1" applyBorder="1" applyAlignment="1"/>
    <xf numFmtId="37" fontId="4" fillId="0" borderId="1" xfId="0" applyNumberFormat="1" applyFont="1" applyFill="1" applyBorder="1" applyAlignment="1" applyProtection="1"/>
    <xf numFmtId="37" fontId="2" fillId="0" borderId="0" xfId="1" applyNumberFormat="1" applyFill="1" applyBorder="1" applyAlignment="1" applyProtection="1"/>
    <xf numFmtId="37" fontId="15" fillId="0" borderId="0" xfId="0" applyFont="1" applyFill="1" applyBorder="1" applyAlignment="1"/>
    <xf numFmtId="37" fontId="15" fillId="0" borderId="6" xfId="0" applyFont="1" applyFill="1" applyBorder="1" applyAlignment="1"/>
    <xf numFmtId="3" fontId="15" fillId="0" borderId="10" xfId="0" applyNumberFormat="1" applyFont="1" applyFill="1" applyBorder="1" applyAlignment="1"/>
    <xf numFmtId="3" fontId="15" fillId="0" borderId="11" xfId="0" applyNumberFormat="1" applyFont="1" applyFill="1" applyBorder="1" applyAlignment="1"/>
    <xf numFmtId="3" fontId="15" fillId="0" borderId="11" xfId="0" applyNumberFormat="1" applyFont="1" applyFill="1" applyBorder="1" applyAlignment="1">
      <alignment horizontal="right"/>
    </xf>
    <xf numFmtId="168" fontId="15" fillId="0" borderId="12" xfId="0" applyNumberFormat="1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horizontal="right"/>
    </xf>
    <xf numFmtId="37" fontId="15" fillId="0" borderId="1" xfId="0" applyNumberFormat="1" applyFont="1" applyFill="1" applyBorder="1" applyAlignment="1" applyProtection="1"/>
    <xf numFmtId="37" fontId="15" fillId="0" borderId="1" xfId="0" applyFont="1" applyFill="1" applyBorder="1" applyAlignment="1"/>
    <xf numFmtId="37" fontId="15" fillId="0" borderId="7" xfId="0" applyFont="1" applyFill="1" applyBorder="1" applyAlignment="1"/>
    <xf numFmtId="37" fontId="0" fillId="0" borderId="0" xfId="0" applyFill="1"/>
    <xf numFmtId="165" fontId="0" fillId="0" borderId="0" xfId="0" applyNumberFormat="1" applyFill="1" applyProtection="1"/>
    <xf numFmtId="37" fontId="0" fillId="0" borderId="0" xfId="0" applyFill="1" applyBorder="1"/>
    <xf numFmtId="3" fontId="0" fillId="0" borderId="0" xfId="2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7" fontId="4" fillId="0" borderId="8" xfId="0" applyFont="1" applyFill="1" applyBorder="1" applyAlignment="1">
      <alignment horizontal="left"/>
    </xf>
    <xf numFmtId="37" fontId="4" fillId="0" borderId="1" xfId="0" applyFont="1" applyFill="1" applyBorder="1" applyAlignment="1">
      <alignment horizontal="left"/>
    </xf>
    <xf numFmtId="37" fontId="4" fillId="0" borderId="8" xfId="0" applyFont="1" applyFill="1" applyBorder="1" applyAlignment="1"/>
    <xf numFmtId="37" fontId="4" fillId="0" borderId="0" xfId="0" applyFont="1" applyFill="1"/>
    <xf numFmtId="165" fontId="4" fillId="0" borderId="0" xfId="0" applyNumberFormat="1" applyFont="1" applyFill="1" applyProtection="1"/>
    <xf numFmtId="37" fontId="4" fillId="0" borderId="0" xfId="0" applyFont="1" applyFill="1" applyBorder="1"/>
    <xf numFmtId="3" fontId="4" fillId="0" borderId="0" xfId="2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/>
    <xf numFmtId="0" fontId="2" fillId="3" borderId="0" xfId="1" applyFill="1" applyAlignment="1" applyProtection="1"/>
    <xf numFmtId="37" fontId="16" fillId="5" borderId="10" xfId="0" applyFont="1" applyFill="1" applyBorder="1" applyAlignment="1">
      <alignment horizontal="center"/>
    </xf>
    <xf numFmtId="37" fontId="16" fillId="5" borderId="11" xfId="0" applyFont="1" applyFill="1" applyBorder="1" applyAlignment="1">
      <alignment horizontal="center"/>
    </xf>
    <xf numFmtId="37" fontId="16" fillId="5" borderId="12" xfId="0" applyFont="1" applyFill="1" applyBorder="1" applyAlignment="1">
      <alignment horizontal="center"/>
    </xf>
    <xf numFmtId="37" fontId="16" fillId="6" borderId="8" xfId="0" applyFont="1" applyFill="1" applyBorder="1" applyAlignment="1">
      <alignment horizontal="right"/>
    </xf>
    <xf numFmtId="37" fontId="16" fillId="6" borderId="7" xfId="0" applyFont="1" applyFill="1" applyBorder="1" applyAlignment="1">
      <alignment horizontal="left"/>
    </xf>
    <xf numFmtId="37" fontId="15" fillId="0" borderId="0" xfId="0" applyFont="1" applyBorder="1" applyAlignment="1">
      <alignment horizontal="center"/>
    </xf>
    <xf numFmtId="37" fontId="15" fillId="0" borderId="2" xfId="0" applyFont="1" applyBorder="1" applyAlignment="1">
      <alignment horizontal="center"/>
    </xf>
    <xf numFmtId="37" fontId="16" fillId="0" borderId="9" xfId="0" applyFont="1" applyBorder="1" applyAlignment="1">
      <alignment horizontal="center"/>
    </xf>
    <xf numFmtId="165" fontId="15" fillId="0" borderId="6" xfId="0" applyNumberFormat="1" applyFont="1" applyBorder="1" applyAlignment="1" applyProtection="1">
      <alignment horizontal="center"/>
    </xf>
    <xf numFmtId="169" fontId="15" fillId="0" borderId="2" xfId="0" applyNumberFormat="1" applyFont="1" applyBorder="1" applyAlignment="1">
      <alignment horizontal="center"/>
    </xf>
    <xf numFmtId="169" fontId="4" fillId="0" borderId="8" xfId="0" applyNumberFormat="1" applyFont="1" applyFill="1" applyBorder="1" applyAlignment="1">
      <alignment horizontal="center"/>
    </xf>
    <xf numFmtId="169" fontId="4" fillId="0" borderId="1" xfId="0" applyNumberFormat="1" applyFont="1" applyFill="1" applyBorder="1" applyAlignment="1">
      <alignment horizontal="center"/>
    </xf>
    <xf numFmtId="37" fontId="2" fillId="0" borderId="13" xfId="1" applyNumberFormat="1" applyFill="1" applyBorder="1" applyAlignment="1" applyProtection="1"/>
    <xf numFmtId="37" fontId="5" fillId="7" borderId="0" xfId="0" applyFont="1" applyFill="1" applyBorder="1" applyAlignment="1">
      <alignment horizontal="center" vertical="center"/>
    </xf>
    <xf numFmtId="37" fontId="17" fillId="8" borderId="10" xfId="0" applyFont="1" applyFill="1" applyBorder="1" applyAlignment="1">
      <alignment horizontal="center" vertical="center"/>
    </xf>
    <xf numFmtId="37" fontId="17" fillId="8" borderId="11" xfId="0" applyFont="1" applyFill="1" applyBorder="1" applyAlignment="1">
      <alignment horizontal="center" vertical="center"/>
    </xf>
    <xf numFmtId="37" fontId="17" fillId="8" borderId="12" xfId="0" applyFont="1" applyFill="1" applyBorder="1" applyAlignment="1">
      <alignment horizontal="center" vertical="center"/>
    </xf>
    <xf numFmtId="37" fontId="15" fillId="0" borderId="2" xfId="0" applyFont="1" applyBorder="1" applyAlignment="1">
      <alignment horizontal="left"/>
    </xf>
    <xf numFmtId="37" fontId="15" fillId="0" borderId="0" xfId="0" applyFont="1" applyBorder="1"/>
    <xf numFmtId="37" fontId="16" fillId="6" borderId="10" xfId="0" applyFont="1" applyFill="1" applyBorder="1" applyAlignment="1">
      <alignment horizontal="center" vertical="center"/>
    </xf>
    <xf numFmtId="37" fontId="16" fillId="6" borderId="12" xfId="0" applyFont="1" applyFill="1" applyBorder="1" applyAlignment="1">
      <alignment horizontal="center" vertical="center"/>
    </xf>
    <xf numFmtId="37" fontId="15" fillId="0" borderId="0" xfId="0" applyFont="1" applyBorder="1" applyAlignment="1">
      <alignment horizontal="left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828675</xdr:colOff>
      <xdr:row>0</xdr:row>
      <xdr:rowOff>114300</xdr:rowOff>
    </xdr:from>
    <xdr:to>
      <xdr:col>1</xdr:col>
      <xdr:colOff>1657350</xdr:colOff>
      <xdr:row>2</xdr:row>
      <xdr:rowOff>161925</xdr:rowOff>
    </xdr:to>
    <xdr:pic>
      <xdr:nvPicPr>
        <xdr:cNvPr id="9261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11430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6307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</xdr:row>
      <xdr:rowOff>9525</xdr:rowOff>
    </xdr:from>
    <xdr:to>
      <xdr:col>0</xdr:col>
      <xdr:colOff>28575</xdr:colOff>
      <xdr:row>4</xdr:row>
      <xdr:rowOff>9525</xdr:rowOff>
    </xdr:to>
    <xdr:sp macro="" textlink="">
      <xdr:nvSpPr>
        <xdr:cNvPr id="6308" name="Line 2"/>
        <xdr:cNvSpPr>
          <a:spLocks noChangeShapeType="1"/>
        </xdr:cNvSpPr>
      </xdr:nvSpPr>
      <xdr:spPr bwMode="auto">
        <a:xfrm>
          <a:off x="28575" y="80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4</xdr:row>
      <xdr:rowOff>28575</xdr:rowOff>
    </xdr:from>
    <xdr:to>
      <xdr:col>1</xdr:col>
      <xdr:colOff>19050</xdr:colOff>
      <xdr:row>5</xdr:row>
      <xdr:rowOff>171450</xdr:rowOff>
    </xdr:to>
    <xdr:cxnSp macro="">
      <xdr:nvCxnSpPr>
        <xdr:cNvPr id="6309" name="Connecteur droit 3"/>
        <xdr:cNvCxnSpPr>
          <a:cxnSpLocks noChangeShapeType="1"/>
        </xdr:cNvCxnSpPr>
      </xdr:nvCxnSpPr>
      <xdr:spPr bwMode="auto">
        <a:xfrm>
          <a:off x="38100" y="828675"/>
          <a:ext cx="1704975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7371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7372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</xdr:row>
      <xdr:rowOff>9525</xdr:rowOff>
    </xdr:from>
    <xdr:to>
      <xdr:col>0</xdr:col>
      <xdr:colOff>28575</xdr:colOff>
      <xdr:row>4</xdr:row>
      <xdr:rowOff>9525</xdr:rowOff>
    </xdr:to>
    <xdr:sp macro="" textlink="">
      <xdr:nvSpPr>
        <xdr:cNvPr id="7373" name="Line 2"/>
        <xdr:cNvSpPr>
          <a:spLocks noChangeShapeType="1"/>
        </xdr:cNvSpPr>
      </xdr:nvSpPr>
      <xdr:spPr bwMode="auto">
        <a:xfrm>
          <a:off x="28575" y="80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4</xdr:row>
      <xdr:rowOff>28575</xdr:rowOff>
    </xdr:from>
    <xdr:to>
      <xdr:col>1</xdr:col>
      <xdr:colOff>19050</xdr:colOff>
      <xdr:row>5</xdr:row>
      <xdr:rowOff>171450</xdr:rowOff>
    </xdr:to>
    <xdr:cxnSp macro="">
      <xdr:nvCxnSpPr>
        <xdr:cNvPr id="7374" name="Connecteur droit 7"/>
        <xdr:cNvCxnSpPr>
          <a:cxnSpLocks noChangeShapeType="1"/>
        </xdr:cNvCxnSpPr>
      </xdr:nvCxnSpPr>
      <xdr:spPr bwMode="auto">
        <a:xfrm>
          <a:off x="38100" y="828675"/>
          <a:ext cx="2124075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8392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</xdr:row>
      <xdr:rowOff>9525</xdr:rowOff>
    </xdr:from>
    <xdr:to>
      <xdr:col>0</xdr:col>
      <xdr:colOff>28575</xdr:colOff>
      <xdr:row>5</xdr:row>
      <xdr:rowOff>9525</xdr:rowOff>
    </xdr:to>
    <xdr:sp macro="" textlink="">
      <xdr:nvSpPr>
        <xdr:cNvPr id="8393" name="Line 2"/>
        <xdr:cNvSpPr>
          <a:spLocks noChangeShapeType="1"/>
        </xdr:cNvSpPr>
      </xdr:nvSpPr>
      <xdr:spPr bwMode="auto">
        <a:xfrm>
          <a:off x="28575" y="100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4</xdr:row>
      <xdr:rowOff>9525</xdr:rowOff>
    </xdr:from>
    <xdr:to>
      <xdr:col>0</xdr:col>
      <xdr:colOff>28575</xdr:colOff>
      <xdr:row>4</xdr:row>
      <xdr:rowOff>9525</xdr:rowOff>
    </xdr:to>
    <xdr:sp macro="" textlink="">
      <xdr:nvSpPr>
        <xdr:cNvPr id="8394" name="Line 2"/>
        <xdr:cNvSpPr>
          <a:spLocks noChangeShapeType="1"/>
        </xdr:cNvSpPr>
      </xdr:nvSpPr>
      <xdr:spPr bwMode="auto">
        <a:xfrm>
          <a:off x="28575" y="80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38100</xdr:colOff>
      <xdr:row>4</xdr:row>
      <xdr:rowOff>28575</xdr:rowOff>
    </xdr:from>
    <xdr:to>
      <xdr:col>1</xdr:col>
      <xdr:colOff>19050</xdr:colOff>
      <xdr:row>5</xdr:row>
      <xdr:rowOff>171450</xdr:rowOff>
    </xdr:to>
    <xdr:cxnSp macro="">
      <xdr:nvCxnSpPr>
        <xdr:cNvPr id="8395" name="Connecteur droit 4"/>
        <xdr:cNvCxnSpPr>
          <a:cxnSpLocks noChangeShapeType="1"/>
        </xdr:cNvCxnSpPr>
      </xdr:nvCxnSpPr>
      <xdr:spPr bwMode="auto">
        <a:xfrm>
          <a:off x="38100" y="828675"/>
          <a:ext cx="3019425" cy="34290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rb.bi/fr/content/autr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2:H234"/>
  <sheetViews>
    <sheetView workbookViewId="0">
      <selection activeCell="E14" sqref="E14"/>
    </sheetView>
  </sheetViews>
  <sheetFormatPr baseColWidth="10" defaultColWidth="8.88671875" defaultRowHeight="15.75" x14ac:dyDescent="0.25"/>
  <cols>
    <col min="1" max="1" width="4.21875" style="9" customWidth="1"/>
    <col min="2" max="2" width="68.6640625" style="9" bestFit="1" customWidth="1"/>
    <col min="3" max="3" width="46.109375" style="9" bestFit="1" customWidth="1"/>
    <col min="4" max="4" width="17.109375" style="9" bestFit="1" customWidth="1"/>
    <col min="5" max="5" width="15.88671875" style="9" customWidth="1"/>
    <col min="6" max="16384" width="8.88671875" style="9"/>
  </cols>
  <sheetData>
    <row r="2" spans="2:5" x14ac:dyDescent="0.25">
      <c r="B2" s="45" t="s">
        <v>29</v>
      </c>
    </row>
    <row r="3" spans="2:5" x14ac:dyDescent="0.25">
      <c r="B3" s="45"/>
    </row>
    <row r="4" spans="2:5" x14ac:dyDescent="0.25">
      <c r="B4" s="45" t="s">
        <v>30</v>
      </c>
    </row>
    <row r="5" spans="2:5" x14ac:dyDescent="0.25">
      <c r="B5" s="45" t="s">
        <v>31</v>
      </c>
    </row>
    <row r="6" spans="2:5" x14ac:dyDescent="0.25">
      <c r="B6" s="45"/>
    </row>
    <row r="7" spans="2:5" x14ac:dyDescent="0.25">
      <c r="B7" s="45"/>
    </row>
    <row r="8" spans="2:5" ht="18.75" x14ac:dyDescent="0.3">
      <c r="B8" s="10" t="s">
        <v>33</v>
      </c>
    </row>
    <row r="9" spans="2:5" ht="18.75" x14ac:dyDescent="0.3">
      <c r="B9" s="11" t="s">
        <v>44</v>
      </c>
    </row>
    <row r="11" spans="2:5" x14ac:dyDescent="0.25">
      <c r="B11" s="9" t="s">
        <v>34</v>
      </c>
    </row>
    <row r="12" spans="2:5" ht="16.5" thickBot="1" x14ac:dyDescent="0.3">
      <c r="B12" s="12" t="s">
        <v>35</v>
      </c>
      <c r="C12" s="12" t="s">
        <v>36</v>
      </c>
      <c r="D12" s="12" t="s">
        <v>37</v>
      </c>
      <c r="E12" s="12" t="s">
        <v>38</v>
      </c>
    </row>
    <row r="13" spans="2:5" x14ac:dyDescent="0.25">
      <c r="B13" s="82" t="s">
        <v>39</v>
      </c>
      <c r="C13" s="13" t="s">
        <v>45</v>
      </c>
      <c r="D13" s="13" t="s">
        <v>39</v>
      </c>
      <c r="E13" s="19"/>
    </row>
    <row r="14" spans="2:5" x14ac:dyDescent="0.25">
      <c r="B14" s="82" t="s">
        <v>40</v>
      </c>
      <c r="C14" s="13" t="s">
        <v>45</v>
      </c>
      <c r="D14" s="13" t="s">
        <v>40</v>
      </c>
      <c r="E14" s="14"/>
    </row>
    <row r="15" spans="2:5" x14ac:dyDescent="0.25">
      <c r="B15" s="82" t="s">
        <v>41</v>
      </c>
      <c r="C15" s="13" t="s">
        <v>45</v>
      </c>
      <c r="D15" s="13" t="s">
        <v>41</v>
      </c>
      <c r="E15" s="15"/>
    </row>
    <row r="16" spans="2:5" ht="16.5" thickBot="1" x14ac:dyDescent="0.3">
      <c r="B16" s="16"/>
      <c r="C16" s="17"/>
      <c r="D16" s="17"/>
      <c r="E16" s="17"/>
    </row>
    <row r="18" spans="2:8" x14ac:dyDescent="0.25">
      <c r="B18" s="9" t="s">
        <v>42</v>
      </c>
      <c r="C18" s="18"/>
    </row>
    <row r="19" spans="2:8" x14ac:dyDescent="0.25">
      <c r="B19" s="9" t="s">
        <v>43</v>
      </c>
      <c r="C19" s="18"/>
    </row>
    <row r="21" spans="2:8" x14ac:dyDescent="0.25">
      <c r="B21" s="9" t="s">
        <v>26</v>
      </c>
      <c r="C21" s="9" t="s">
        <v>46</v>
      </c>
    </row>
    <row r="22" spans="2:8" x14ac:dyDescent="0.25">
      <c r="B22" s="9" t="s">
        <v>27</v>
      </c>
      <c r="C22" s="46" t="s">
        <v>28</v>
      </c>
    </row>
    <row r="24" spans="2:8" x14ac:dyDescent="0.25">
      <c r="B24" s="29"/>
      <c r="C24" s="29"/>
    </row>
    <row r="25" spans="2:8" x14ac:dyDescent="0.25">
      <c r="B25" s="29"/>
      <c r="C25" s="29"/>
    </row>
    <row r="26" spans="2:8" x14ac:dyDescent="0.25">
      <c r="B26" s="29"/>
      <c r="C26" s="29"/>
    </row>
    <row r="27" spans="2:8" x14ac:dyDescent="0.25">
      <c r="B27" s="29"/>
    </row>
    <row r="28" spans="2:8" ht="21" customHeight="1" x14ac:dyDescent="0.25">
      <c r="B28" s="97" t="s">
        <v>47</v>
      </c>
      <c r="C28" s="83" t="s">
        <v>48</v>
      </c>
      <c r="D28" s="44"/>
      <c r="E28" s="96"/>
      <c r="F28" s="96"/>
      <c r="G28" s="96"/>
      <c r="H28" s="96"/>
    </row>
    <row r="29" spans="2:8" ht="21" customHeight="1" x14ac:dyDescent="0.25">
      <c r="B29" s="98"/>
      <c r="C29" s="84" t="s">
        <v>49</v>
      </c>
      <c r="D29" s="44"/>
      <c r="E29" s="96"/>
      <c r="F29" s="96"/>
      <c r="G29" s="96"/>
      <c r="H29" s="96"/>
    </row>
    <row r="30" spans="2:8" ht="21" customHeight="1" x14ac:dyDescent="0.25">
      <c r="B30" s="98"/>
      <c r="C30" s="84" t="s">
        <v>50</v>
      </c>
    </row>
    <row r="31" spans="2:8" ht="21" customHeight="1" x14ac:dyDescent="0.25">
      <c r="B31" s="99"/>
      <c r="C31" s="85" t="s">
        <v>1</v>
      </c>
    </row>
    <row r="32" spans="2:8" x14ac:dyDescent="0.25">
      <c r="B32" s="29"/>
      <c r="C32" s="29"/>
    </row>
    <row r="33" spans="2:3" x14ac:dyDescent="0.25">
      <c r="B33" s="29"/>
      <c r="C33" s="29"/>
    </row>
    <row r="34" spans="2:3" x14ac:dyDescent="0.25">
      <c r="B34" s="29"/>
      <c r="C34" s="29"/>
    </row>
    <row r="35" spans="2:3" x14ac:dyDescent="0.25">
      <c r="B35" s="29"/>
      <c r="C35" s="29"/>
    </row>
    <row r="36" spans="2:3" x14ac:dyDescent="0.25">
      <c r="B36" s="29"/>
      <c r="C36" s="29"/>
    </row>
    <row r="37" spans="2:3" x14ac:dyDescent="0.25">
      <c r="B37" s="29"/>
      <c r="C37" s="29"/>
    </row>
    <row r="38" spans="2:3" x14ac:dyDescent="0.25">
      <c r="B38" s="29"/>
      <c r="C38" s="29"/>
    </row>
    <row r="39" spans="2:3" x14ac:dyDescent="0.25">
      <c r="B39" s="29"/>
      <c r="C39" s="29"/>
    </row>
    <row r="40" spans="2:3" x14ac:dyDescent="0.25">
      <c r="B40" s="29"/>
      <c r="C40" s="29"/>
    </row>
    <row r="41" spans="2:3" x14ac:dyDescent="0.25">
      <c r="B41" s="29"/>
      <c r="C41" s="29"/>
    </row>
    <row r="42" spans="2:3" x14ac:dyDescent="0.25">
      <c r="B42" s="29"/>
      <c r="C42" s="29"/>
    </row>
    <row r="43" spans="2:3" x14ac:dyDescent="0.25">
      <c r="B43" s="29"/>
      <c r="C43" s="29"/>
    </row>
    <row r="44" spans="2:3" x14ac:dyDescent="0.25">
      <c r="B44" s="29"/>
      <c r="C44" s="29"/>
    </row>
    <row r="45" spans="2:3" x14ac:dyDescent="0.25">
      <c r="B45" s="29"/>
      <c r="C45" s="29"/>
    </row>
    <row r="46" spans="2:3" x14ac:dyDescent="0.25">
      <c r="B46" s="29"/>
      <c r="C46" s="29"/>
    </row>
    <row r="47" spans="2:3" x14ac:dyDescent="0.25">
      <c r="B47" s="29"/>
      <c r="C47" s="29"/>
    </row>
    <row r="48" spans="2:3" x14ac:dyDescent="0.25">
      <c r="B48" s="29"/>
      <c r="C48" s="29"/>
    </row>
    <row r="49" spans="2:3" x14ac:dyDescent="0.25">
      <c r="B49" s="29"/>
      <c r="C49" s="29"/>
    </row>
    <row r="50" spans="2:3" x14ac:dyDescent="0.25">
      <c r="B50" s="29"/>
      <c r="C50" s="29"/>
    </row>
    <row r="51" spans="2:3" x14ac:dyDescent="0.25">
      <c r="B51" s="29"/>
      <c r="C51" s="29"/>
    </row>
    <row r="52" spans="2:3" x14ac:dyDescent="0.25">
      <c r="B52" s="29"/>
      <c r="C52" s="29"/>
    </row>
    <row r="53" spans="2:3" x14ac:dyDescent="0.25">
      <c r="B53" s="29"/>
      <c r="C53" s="29"/>
    </row>
    <row r="54" spans="2:3" x14ac:dyDescent="0.25">
      <c r="B54" s="29"/>
      <c r="C54" s="29"/>
    </row>
    <row r="55" spans="2:3" x14ac:dyDescent="0.25">
      <c r="B55" s="29"/>
      <c r="C55" s="29"/>
    </row>
    <row r="56" spans="2:3" x14ac:dyDescent="0.25">
      <c r="B56" s="29"/>
      <c r="C56" s="29"/>
    </row>
    <row r="57" spans="2:3" x14ac:dyDescent="0.25">
      <c r="B57" s="29"/>
      <c r="C57" s="29"/>
    </row>
    <row r="58" spans="2:3" x14ac:dyDescent="0.25">
      <c r="B58" s="29"/>
      <c r="C58" s="29"/>
    </row>
    <row r="59" spans="2:3" x14ac:dyDescent="0.25">
      <c r="B59" s="29"/>
      <c r="C59" s="29"/>
    </row>
    <row r="60" spans="2:3" x14ac:dyDescent="0.25">
      <c r="B60" s="29"/>
      <c r="C60" s="29"/>
    </row>
    <row r="61" spans="2:3" x14ac:dyDescent="0.25">
      <c r="B61" s="29"/>
      <c r="C61" s="29"/>
    </row>
    <row r="62" spans="2:3" x14ac:dyDescent="0.25">
      <c r="B62" s="29"/>
      <c r="C62" s="29"/>
    </row>
    <row r="63" spans="2:3" x14ac:dyDescent="0.25">
      <c r="B63" s="29"/>
      <c r="C63" s="29"/>
    </row>
    <row r="64" spans="2:3" x14ac:dyDescent="0.25">
      <c r="B64" s="29"/>
      <c r="C64" s="29"/>
    </row>
    <row r="65" spans="2:3" x14ac:dyDescent="0.25">
      <c r="B65" s="29"/>
      <c r="C65" s="29"/>
    </row>
    <row r="66" spans="2:3" x14ac:dyDescent="0.25">
      <c r="B66" s="29"/>
      <c r="C66" s="29"/>
    </row>
    <row r="67" spans="2:3" x14ac:dyDescent="0.25">
      <c r="B67" s="29"/>
      <c r="C67" s="29"/>
    </row>
    <row r="68" spans="2:3" x14ac:dyDescent="0.25">
      <c r="B68" s="29"/>
      <c r="C68" s="29"/>
    </row>
    <row r="69" spans="2:3" x14ac:dyDescent="0.25">
      <c r="B69" s="29"/>
      <c r="C69" s="29"/>
    </row>
    <row r="70" spans="2:3" x14ac:dyDescent="0.25">
      <c r="B70" s="29"/>
      <c r="C70" s="29"/>
    </row>
    <row r="71" spans="2:3" x14ac:dyDescent="0.25">
      <c r="B71" s="29"/>
      <c r="C71" s="29"/>
    </row>
    <row r="72" spans="2:3" x14ac:dyDescent="0.25">
      <c r="B72" s="29"/>
      <c r="C72" s="29"/>
    </row>
    <row r="73" spans="2:3" x14ac:dyDescent="0.25">
      <c r="B73" s="29"/>
      <c r="C73" s="29"/>
    </row>
    <row r="74" spans="2:3" x14ac:dyDescent="0.25">
      <c r="B74" s="29"/>
      <c r="C74" s="29"/>
    </row>
    <row r="75" spans="2:3" x14ac:dyDescent="0.25">
      <c r="B75" s="29"/>
      <c r="C75" s="29"/>
    </row>
    <row r="76" spans="2:3" x14ac:dyDescent="0.25">
      <c r="B76" s="29"/>
      <c r="C76" s="29"/>
    </row>
    <row r="77" spans="2:3" x14ac:dyDescent="0.25">
      <c r="B77" s="29"/>
      <c r="C77" s="29"/>
    </row>
    <row r="78" spans="2:3" x14ac:dyDescent="0.25">
      <c r="B78" s="29"/>
      <c r="C78" s="29"/>
    </row>
    <row r="79" spans="2:3" x14ac:dyDescent="0.25">
      <c r="B79" s="29"/>
      <c r="C79" s="29"/>
    </row>
    <row r="80" spans="2:3" x14ac:dyDescent="0.25">
      <c r="B80" s="29"/>
      <c r="C80" s="29"/>
    </row>
    <row r="81" spans="2:3" x14ac:dyDescent="0.25">
      <c r="B81" s="29"/>
      <c r="C81" s="29"/>
    </row>
    <row r="82" spans="2:3" x14ac:dyDescent="0.25">
      <c r="B82" s="29"/>
      <c r="C82" s="29"/>
    </row>
    <row r="83" spans="2:3" x14ac:dyDescent="0.25">
      <c r="B83" s="29"/>
      <c r="C83" s="29"/>
    </row>
    <row r="84" spans="2:3" x14ac:dyDescent="0.25">
      <c r="B84" s="29"/>
      <c r="C84" s="29"/>
    </row>
    <row r="85" spans="2:3" x14ac:dyDescent="0.25">
      <c r="B85" s="29"/>
      <c r="C85" s="29"/>
    </row>
    <row r="86" spans="2:3" x14ac:dyDescent="0.25">
      <c r="B86" s="29"/>
      <c r="C86" s="29"/>
    </row>
    <row r="87" spans="2:3" x14ac:dyDescent="0.25">
      <c r="B87" s="29"/>
      <c r="C87" s="29"/>
    </row>
    <row r="88" spans="2:3" x14ac:dyDescent="0.25">
      <c r="B88" s="29"/>
      <c r="C88" s="29"/>
    </row>
    <row r="89" spans="2:3" x14ac:dyDescent="0.25">
      <c r="B89" s="29"/>
      <c r="C89" s="29"/>
    </row>
    <row r="90" spans="2:3" x14ac:dyDescent="0.25">
      <c r="B90" s="29"/>
      <c r="C90" s="29"/>
    </row>
    <row r="91" spans="2:3" x14ac:dyDescent="0.25">
      <c r="B91" s="29"/>
      <c r="C91" s="29"/>
    </row>
    <row r="92" spans="2:3" x14ac:dyDescent="0.25">
      <c r="B92" s="29"/>
      <c r="C92" s="29"/>
    </row>
    <row r="93" spans="2:3" x14ac:dyDescent="0.25">
      <c r="B93" s="29"/>
      <c r="C93" s="29"/>
    </row>
    <row r="94" spans="2:3" x14ac:dyDescent="0.25">
      <c r="B94" s="29"/>
      <c r="C94" s="29"/>
    </row>
    <row r="95" spans="2:3" x14ac:dyDescent="0.25">
      <c r="B95" s="29"/>
      <c r="C95" s="29"/>
    </row>
    <row r="96" spans="2:3" x14ac:dyDescent="0.25">
      <c r="B96" s="29"/>
      <c r="C96" s="29"/>
    </row>
    <row r="97" spans="2:3" x14ac:dyDescent="0.25">
      <c r="B97" s="29"/>
      <c r="C97" s="29"/>
    </row>
    <row r="98" spans="2:3" x14ac:dyDescent="0.25">
      <c r="B98" s="29"/>
      <c r="C98" s="29"/>
    </row>
    <row r="99" spans="2:3" x14ac:dyDescent="0.25">
      <c r="B99" s="29"/>
      <c r="C99" s="29"/>
    </row>
    <row r="100" spans="2:3" x14ac:dyDescent="0.25">
      <c r="B100" s="29"/>
      <c r="C100" s="29"/>
    </row>
    <row r="101" spans="2:3" x14ac:dyDescent="0.25">
      <c r="B101" s="29"/>
      <c r="C101" s="29"/>
    </row>
    <row r="102" spans="2:3" x14ac:dyDescent="0.25">
      <c r="B102" s="29"/>
      <c r="C102" s="29"/>
    </row>
    <row r="103" spans="2:3" x14ac:dyDescent="0.25">
      <c r="B103" s="29"/>
      <c r="C103" s="29"/>
    </row>
    <row r="104" spans="2:3" x14ac:dyDescent="0.25">
      <c r="B104" s="29"/>
      <c r="C104" s="29"/>
    </row>
    <row r="105" spans="2:3" x14ac:dyDescent="0.25">
      <c r="B105" s="29"/>
      <c r="C105" s="29"/>
    </row>
    <row r="106" spans="2:3" x14ac:dyDescent="0.25">
      <c r="B106" s="29"/>
      <c r="C106" s="29"/>
    </row>
    <row r="107" spans="2:3" x14ac:dyDescent="0.25">
      <c r="B107" s="29"/>
      <c r="C107" s="29"/>
    </row>
    <row r="108" spans="2:3" x14ac:dyDescent="0.25">
      <c r="B108" s="29"/>
      <c r="C108" s="29"/>
    </row>
    <row r="109" spans="2:3" x14ac:dyDescent="0.25">
      <c r="B109" s="29"/>
      <c r="C109" s="29"/>
    </row>
    <row r="110" spans="2:3" x14ac:dyDescent="0.25">
      <c r="B110" s="29"/>
      <c r="C110" s="29"/>
    </row>
    <row r="111" spans="2:3" x14ac:dyDescent="0.25">
      <c r="B111" s="29"/>
      <c r="C111" s="29"/>
    </row>
    <row r="112" spans="2:3" x14ac:dyDescent="0.25">
      <c r="B112" s="29"/>
      <c r="C112" s="29"/>
    </row>
    <row r="113" spans="2:3" x14ac:dyDescent="0.25">
      <c r="B113" s="29"/>
      <c r="C113" s="29"/>
    </row>
    <row r="114" spans="2:3" x14ac:dyDescent="0.25">
      <c r="B114" s="29"/>
      <c r="C114" s="29"/>
    </row>
    <row r="115" spans="2:3" x14ac:dyDescent="0.25">
      <c r="B115" s="29"/>
      <c r="C115" s="29"/>
    </row>
    <row r="116" spans="2:3" x14ac:dyDescent="0.25">
      <c r="B116" s="29"/>
      <c r="C116" s="29"/>
    </row>
    <row r="117" spans="2:3" x14ac:dyDescent="0.25">
      <c r="B117" s="29"/>
      <c r="C117" s="29"/>
    </row>
    <row r="118" spans="2:3" x14ac:dyDescent="0.25">
      <c r="B118" s="29"/>
      <c r="C118" s="29"/>
    </row>
    <row r="119" spans="2:3" x14ac:dyDescent="0.25">
      <c r="B119" s="29"/>
      <c r="C119" s="29"/>
    </row>
    <row r="120" spans="2:3" x14ac:dyDescent="0.25">
      <c r="B120" s="29"/>
      <c r="C120" s="29"/>
    </row>
    <row r="121" spans="2:3" x14ac:dyDescent="0.25">
      <c r="B121" s="29"/>
      <c r="C121" s="29"/>
    </row>
    <row r="122" spans="2:3" x14ac:dyDescent="0.25">
      <c r="B122" s="29"/>
      <c r="C122" s="29"/>
    </row>
    <row r="123" spans="2:3" x14ac:dyDescent="0.25">
      <c r="B123" s="29"/>
      <c r="C123" s="29"/>
    </row>
    <row r="124" spans="2:3" x14ac:dyDescent="0.25">
      <c r="B124" s="29"/>
      <c r="C124" s="29"/>
    </row>
    <row r="125" spans="2:3" x14ac:dyDescent="0.25">
      <c r="B125" s="29"/>
      <c r="C125" s="29"/>
    </row>
    <row r="126" spans="2:3" x14ac:dyDescent="0.25">
      <c r="B126" s="29"/>
      <c r="C126" s="29"/>
    </row>
    <row r="127" spans="2:3" x14ac:dyDescent="0.25">
      <c r="B127" s="29"/>
      <c r="C127" s="29"/>
    </row>
    <row r="128" spans="2:3" x14ac:dyDescent="0.25">
      <c r="B128" s="29"/>
      <c r="C128" s="29"/>
    </row>
    <row r="129" spans="2:3" x14ac:dyDescent="0.25">
      <c r="B129" s="29"/>
      <c r="C129" s="29"/>
    </row>
    <row r="130" spans="2:3" x14ac:dyDescent="0.25">
      <c r="B130" s="29"/>
      <c r="C130" s="29"/>
    </row>
    <row r="131" spans="2:3" x14ac:dyDescent="0.25">
      <c r="B131" s="29"/>
      <c r="C131" s="29"/>
    </row>
    <row r="132" spans="2:3" x14ac:dyDescent="0.25">
      <c r="B132" s="29"/>
      <c r="C132" s="29"/>
    </row>
    <row r="133" spans="2:3" x14ac:dyDescent="0.25">
      <c r="B133" s="29"/>
      <c r="C133" s="29"/>
    </row>
    <row r="134" spans="2:3" x14ac:dyDescent="0.25">
      <c r="B134" s="29"/>
      <c r="C134" s="29"/>
    </row>
    <row r="135" spans="2:3" x14ac:dyDescent="0.25">
      <c r="B135" s="29"/>
      <c r="C135" s="29"/>
    </row>
    <row r="136" spans="2:3" x14ac:dyDescent="0.25">
      <c r="B136" s="29"/>
      <c r="C136" s="29"/>
    </row>
    <row r="137" spans="2:3" x14ac:dyDescent="0.25">
      <c r="B137" s="29"/>
      <c r="C137" s="29"/>
    </row>
    <row r="138" spans="2:3" x14ac:dyDescent="0.25">
      <c r="B138" s="29"/>
      <c r="C138" s="29"/>
    </row>
    <row r="139" spans="2:3" x14ac:dyDescent="0.25">
      <c r="B139" s="29"/>
      <c r="C139" s="29"/>
    </row>
    <row r="140" spans="2:3" x14ac:dyDescent="0.25">
      <c r="B140" s="29"/>
      <c r="C140" s="29"/>
    </row>
    <row r="141" spans="2:3" x14ac:dyDescent="0.25">
      <c r="B141" s="29"/>
      <c r="C141" s="29"/>
    </row>
    <row r="142" spans="2:3" x14ac:dyDescent="0.25">
      <c r="B142" s="29"/>
      <c r="C142" s="29"/>
    </row>
    <row r="143" spans="2:3" x14ac:dyDescent="0.25">
      <c r="B143" s="29"/>
      <c r="C143" s="29"/>
    </row>
    <row r="144" spans="2:3" x14ac:dyDescent="0.25">
      <c r="B144" s="29"/>
      <c r="C144" s="29"/>
    </row>
    <row r="145" spans="2:3" x14ac:dyDescent="0.25">
      <c r="B145" s="29"/>
      <c r="C145" s="29"/>
    </row>
    <row r="146" spans="2:3" x14ac:dyDescent="0.25">
      <c r="B146" s="29"/>
      <c r="C146" s="29"/>
    </row>
    <row r="147" spans="2:3" x14ac:dyDescent="0.25">
      <c r="B147" s="29"/>
      <c r="C147" s="29"/>
    </row>
    <row r="148" spans="2:3" x14ac:dyDescent="0.25">
      <c r="B148" s="29"/>
      <c r="C148" s="29"/>
    </row>
    <row r="149" spans="2:3" x14ac:dyDescent="0.25">
      <c r="B149" s="29"/>
      <c r="C149" s="29"/>
    </row>
    <row r="150" spans="2:3" x14ac:dyDescent="0.25">
      <c r="B150" s="29"/>
      <c r="C150" s="29"/>
    </row>
    <row r="151" spans="2:3" x14ac:dyDescent="0.25">
      <c r="B151" s="29"/>
      <c r="C151" s="29"/>
    </row>
    <row r="152" spans="2:3" x14ac:dyDescent="0.25">
      <c r="B152" s="29"/>
      <c r="C152" s="29"/>
    </row>
    <row r="153" spans="2:3" x14ac:dyDescent="0.25">
      <c r="B153" s="29"/>
      <c r="C153" s="29"/>
    </row>
    <row r="154" spans="2:3" x14ac:dyDescent="0.25">
      <c r="B154" s="29"/>
      <c r="C154" s="29"/>
    </row>
    <row r="155" spans="2:3" x14ac:dyDescent="0.25">
      <c r="B155" s="29"/>
      <c r="C155" s="29"/>
    </row>
    <row r="156" spans="2:3" x14ac:dyDescent="0.25">
      <c r="B156" s="29"/>
      <c r="C156" s="29"/>
    </row>
    <row r="157" spans="2:3" x14ac:dyDescent="0.25">
      <c r="B157" s="29"/>
      <c r="C157" s="29"/>
    </row>
    <row r="158" spans="2:3" x14ac:dyDescent="0.25">
      <c r="B158" s="29"/>
      <c r="C158" s="29"/>
    </row>
    <row r="159" spans="2:3" x14ac:dyDescent="0.25">
      <c r="B159" s="29"/>
      <c r="C159" s="29"/>
    </row>
    <row r="160" spans="2:3" x14ac:dyDescent="0.25">
      <c r="B160" s="29"/>
      <c r="C160" s="29"/>
    </row>
    <row r="161" spans="2:3" x14ac:dyDescent="0.25">
      <c r="B161" s="29"/>
      <c r="C161" s="29"/>
    </row>
    <row r="162" spans="2:3" x14ac:dyDescent="0.25">
      <c r="B162" s="29"/>
      <c r="C162" s="29"/>
    </row>
    <row r="163" spans="2:3" x14ac:dyDescent="0.25">
      <c r="B163" s="29"/>
      <c r="C163" s="29"/>
    </row>
    <row r="164" spans="2:3" x14ac:dyDescent="0.25">
      <c r="B164" s="29"/>
      <c r="C164" s="29"/>
    </row>
    <row r="165" spans="2:3" x14ac:dyDescent="0.25">
      <c r="B165" s="29"/>
      <c r="C165" s="29"/>
    </row>
    <row r="166" spans="2:3" x14ac:dyDescent="0.25">
      <c r="B166" s="29"/>
      <c r="C166" s="29"/>
    </row>
    <row r="167" spans="2:3" x14ac:dyDescent="0.25">
      <c r="B167" s="29"/>
      <c r="C167" s="29"/>
    </row>
    <row r="168" spans="2:3" x14ac:dyDescent="0.25">
      <c r="B168" s="29"/>
      <c r="C168" s="29"/>
    </row>
    <row r="169" spans="2:3" x14ac:dyDescent="0.25">
      <c r="B169" s="29"/>
      <c r="C169" s="29"/>
    </row>
    <row r="170" spans="2:3" x14ac:dyDescent="0.25">
      <c r="B170" s="29"/>
      <c r="C170" s="29"/>
    </row>
    <row r="171" spans="2:3" x14ac:dyDescent="0.25">
      <c r="B171" s="29"/>
      <c r="C171" s="29"/>
    </row>
    <row r="172" spans="2:3" x14ac:dyDescent="0.25">
      <c r="B172" s="29"/>
      <c r="C172" s="29"/>
    </row>
    <row r="173" spans="2:3" x14ac:dyDescent="0.25">
      <c r="B173" s="29"/>
      <c r="C173" s="29"/>
    </row>
    <row r="174" spans="2:3" x14ac:dyDescent="0.25">
      <c r="B174" s="29"/>
      <c r="C174" s="29"/>
    </row>
    <row r="175" spans="2:3" x14ac:dyDescent="0.25">
      <c r="B175" s="29"/>
      <c r="C175" s="29"/>
    </row>
    <row r="176" spans="2:3" x14ac:dyDescent="0.25">
      <c r="B176" s="29"/>
      <c r="C176" s="29"/>
    </row>
    <row r="177" spans="2:3" x14ac:dyDescent="0.25">
      <c r="B177" s="29"/>
      <c r="C177" s="29"/>
    </row>
    <row r="178" spans="2:3" x14ac:dyDescent="0.25">
      <c r="B178" s="29"/>
      <c r="C178" s="29"/>
    </row>
    <row r="179" spans="2:3" x14ac:dyDescent="0.25">
      <c r="B179" s="29"/>
      <c r="C179" s="29"/>
    </row>
    <row r="180" spans="2:3" x14ac:dyDescent="0.25">
      <c r="B180" s="29"/>
      <c r="C180" s="29"/>
    </row>
    <row r="181" spans="2:3" x14ac:dyDescent="0.25">
      <c r="B181" s="29"/>
      <c r="C181" s="29"/>
    </row>
    <row r="182" spans="2:3" x14ac:dyDescent="0.25">
      <c r="B182" s="29"/>
      <c r="C182" s="29"/>
    </row>
    <row r="183" spans="2:3" x14ac:dyDescent="0.25">
      <c r="B183" s="29"/>
      <c r="C183" s="29"/>
    </row>
    <row r="184" spans="2:3" x14ac:dyDescent="0.25">
      <c r="B184" s="29"/>
      <c r="C184" s="29"/>
    </row>
    <row r="185" spans="2:3" x14ac:dyDescent="0.25">
      <c r="B185" s="29"/>
      <c r="C185" s="29"/>
    </row>
    <row r="186" spans="2:3" x14ac:dyDescent="0.25">
      <c r="B186" s="29"/>
      <c r="C186" s="29"/>
    </row>
    <row r="187" spans="2:3" x14ac:dyDescent="0.25">
      <c r="B187" s="29"/>
      <c r="C187" s="29"/>
    </row>
    <row r="188" spans="2:3" x14ac:dyDescent="0.25">
      <c r="B188" s="29"/>
      <c r="C188" s="29"/>
    </row>
    <row r="189" spans="2:3" x14ac:dyDescent="0.25">
      <c r="B189" s="29"/>
      <c r="C189" s="29"/>
    </row>
    <row r="190" spans="2:3" x14ac:dyDescent="0.25">
      <c r="B190" s="29"/>
      <c r="C190" s="29"/>
    </row>
    <row r="191" spans="2:3" x14ac:dyDescent="0.25">
      <c r="B191" s="29"/>
      <c r="C191" s="29"/>
    </row>
    <row r="192" spans="2:3" x14ac:dyDescent="0.25">
      <c r="B192" s="29"/>
      <c r="C192" s="29"/>
    </row>
    <row r="193" spans="2:3" x14ac:dyDescent="0.25">
      <c r="B193" s="29"/>
      <c r="C193" s="29"/>
    </row>
    <row r="194" spans="2:3" x14ac:dyDescent="0.25">
      <c r="B194" s="29"/>
      <c r="C194" s="29"/>
    </row>
    <row r="195" spans="2:3" x14ac:dyDescent="0.25">
      <c r="B195" s="29"/>
      <c r="C195" s="29"/>
    </row>
    <row r="196" spans="2:3" x14ac:dyDescent="0.25">
      <c r="B196" s="29"/>
      <c r="C196" s="29"/>
    </row>
    <row r="197" spans="2:3" x14ac:dyDescent="0.25">
      <c r="B197" s="29"/>
      <c r="C197" s="29"/>
    </row>
    <row r="198" spans="2:3" x14ac:dyDescent="0.25">
      <c r="B198" s="29"/>
      <c r="C198" s="29"/>
    </row>
    <row r="199" spans="2:3" x14ac:dyDescent="0.25">
      <c r="B199" s="29"/>
      <c r="C199" s="29"/>
    </row>
    <row r="200" spans="2:3" x14ac:dyDescent="0.25">
      <c r="B200" s="29"/>
      <c r="C200" s="29"/>
    </row>
    <row r="201" spans="2:3" x14ac:dyDescent="0.25">
      <c r="B201" s="29"/>
      <c r="C201" s="29"/>
    </row>
    <row r="202" spans="2:3" x14ac:dyDescent="0.25">
      <c r="B202" s="29"/>
      <c r="C202" s="29"/>
    </row>
    <row r="203" spans="2:3" x14ac:dyDescent="0.25">
      <c r="B203" s="29"/>
      <c r="C203" s="29"/>
    </row>
    <row r="204" spans="2:3" x14ac:dyDescent="0.25">
      <c r="B204" s="29"/>
      <c r="C204" s="29"/>
    </row>
    <row r="205" spans="2:3" x14ac:dyDescent="0.25">
      <c r="B205" s="29"/>
      <c r="C205" s="29"/>
    </row>
    <row r="206" spans="2:3" x14ac:dyDescent="0.25">
      <c r="B206" s="29"/>
      <c r="C206" s="29"/>
    </row>
    <row r="207" spans="2:3" x14ac:dyDescent="0.25">
      <c r="B207" s="29"/>
      <c r="C207" s="29"/>
    </row>
    <row r="208" spans="2:3" x14ac:dyDescent="0.25">
      <c r="B208" s="29"/>
      <c r="C208" s="29"/>
    </row>
    <row r="209" spans="2:3" x14ac:dyDescent="0.25">
      <c r="B209" s="29"/>
      <c r="C209" s="29"/>
    </row>
    <row r="210" spans="2:3" x14ac:dyDescent="0.25">
      <c r="B210" s="29"/>
      <c r="C210" s="29"/>
    </row>
    <row r="211" spans="2:3" x14ac:dyDescent="0.25">
      <c r="B211" s="29"/>
      <c r="C211" s="29"/>
    </row>
    <row r="212" spans="2:3" x14ac:dyDescent="0.25">
      <c r="B212" s="29"/>
      <c r="C212" s="29"/>
    </row>
    <row r="213" spans="2:3" x14ac:dyDescent="0.25">
      <c r="B213" s="29"/>
      <c r="C213" s="29"/>
    </row>
    <row r="214" spans="2:3" x14ac:dyDescent="0.25">
      <c r="B214" s="29"/>
      <c r="C214" s="29"/>
    </row>
    <row r="215" spans="2:3" x14ac:dyDescent="0.25">
      <c r="B215" s="29"/>
      <c r="C215" s="29"/>
    </row>
    <row r="216" spans="2:3" x14ac:dyDescent="0.25">
      <c r="B216" s="29"/>
      <c r="C216" s="29"/>
    </row>
    <row r="217" spans="2:3" x14ac:dyDescent="0.25">
      <c r="B217" s="29"/>
      <c r="C217" s="29"/>
    </row>
    <row r="218" spans="2:3" x14ac:dyDescent="0.25">
      <c r="B218" s="29"/>
      <c r="C218" s="29"/>
    </row>
    <row r="219" spans="2:3" x14ac:dyDescent="0.25">
      <c r="B219" s="29"/>
      <c r="C219" s="29"/>
    </row>
    <row r="220" spans="2:3" x14ac:dyDescent="0.25">
      <c r="B220" s="29"/>
      <c r="C220" s="29"/>
    </row>
    <row r="221" spans="2:3" x14ac:dyDescent="0.25">
      <c r="B221" s="29"/>
      <c r="C221" s="29"/>
    </row>
    <row r="222" spans="2:3" x14ac:dyDescent="0.25">
      <c r="B222" s="29"/>
      <c r="C222" s="29"/>
    </row>
    <row r="223" spans="2:3" x14ac:dyDescent="0.25">
      <c r="B223" s="29"/>
      <c r="C223" s="29"/>
    </row>
    <row r="224" spans="2:3" x14ac:dyDescent="0.25">
      <c r="B224" s="29"/>
      <c r="C224" s="29"/>
    </row>
    <row r="225" spans="2:3" x14ac:dyDescent="0.25">
      <c r="B225" s="29"/>
      <c r="C225" s="29"/>
    </row>
    <row r="226" spans="2:3" x14ac:dyDescent="0.25">
      <c r="B226" s="29"/>
      <c r="C226" s="29"/>
    </row>
    <row r="227" spans="2:3" x14ac:dyDescent="0.25">
      <c r="B227" s="29"/>
      <c r="C227" s="29"/>
    </row>
    <row r="228" spans="2:3" x14ac:dyDescent="0.25">
      <c r="B228" s="29"/>
      <c r="C228" s="29"/>
    </row>
    <row r="229" spans="2:3" x14ac:dyDescent="0.25">
      <c r="B229" s="29"/>
      <c r="C229" s="29"/>
    </row>
    <row r="230" spans="2:3" x14ac:dyDescent="0.25">
      <c r="B230" s="29"/>
      <c r="C230" s="29"/>
    </row>
    <row r="231" spans="2:3" x14ac:dyDescent="0.25">
      <c r="B231" s="29"/>
      <c r="C231" s="29"/>
    </row>
    <row r="232" spans="2:3" x14ac:dyDescent="0.25">
      <c r="B232" s="29"/>
      <c r="C232" s="29"/>
    </row>
    <row r="233" spans="2:3" x14ac:dyDescent="0.25">
      <c r="B233" s="29"/>
      <c r="C233" s="29"/>
    </row>
    <row r="234" spans="2:3" x14ac:dyDescent="0.25">
      <c r="B234" s="29"/>
      <c r="C234" s="29"/>
    </row>
  </sheetData>
  <mergeCells count="5">
    <mergeCell ref="E28:E29"/>
    <mergeCell ref="F28:F29"/>
    <mergeCell ref="G28:G29"/>
    <mergeCell ref="H28:H29"/>
    <mergeCell ref="B28:B31"/>
  </mergeCells>
  <hyperlinks>
    <hyperlink ref="C22" r:id="rId1"/>
    <hyperlink ref="B13" location="Monthly_Data!A1" display="Monthly"/>
    <hyperlink ref="B14" location="Quarterly_Data!A1" display="Quarterly"/>
    <hyperlink ref="B15" location="Annually_Data!A1" display="Annually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300"/>
  <sheetViews>
    <sheetView zoomScale="105" zoomScaleNormal="105" workbookViewId="0">
      <pane xSplit="1" ySplit="6" topLeftCell="B227" activePane="bottomRight" state="frozen"/>
      <selection pane="topRight" activeCell="B1" sqref="B1"/>
      <selection pane="bottomLeft" activeCell="A7" sqref="A7"/>
      <selection pane="bottomRight" activeCell="D243" sqref="D243"/>
    </sheetView>
  </sheetViews>
  <sheetFormatPr baseColWidth="10" defaultColWidth="12.6640625" defaultRowHeight="15.75" x14ac:dyDescent="0.25"/>
  <cols>
    <col min="1" max="1" width="20.109375" style="29" customWidth="1"/>
    <col min="2" max="5" width="17.77734375" style="29" customWidth="1"/>
  </cols>
  <sheetData>
    <row r="1" spans="1:6" x14ac:dyDescent="0.25">
      <c r="A1" s="95" t="s">
        <v>61</v>
      </c>
      <c r="B1" s="47"/>
      <c r="C1" s="47"/>
      <c r="D1" s="47"/>
      <c r="E1" s="47"/>
      <c r="F1" s="5"/>
    </row>
    <row r="2" spans="1:6" x14ac:dyDescent="0.25">
      <c r="A2" s="37"/>
      <c r="B2" s="38"/>
      <c r="C2" s="38"/>
      <c r="D2" s="38"/>
      <c r="E2" s="38"/>
    </row>
    <row r="3" spans="1:6" x14ac:dyDescent="0.25">
      <c r="A3" s="24" t="s">
        <v>0</v>
      </c>
      <c r="B3" s="24"/>
      <c r="C3" s="24"/>
      <c r="D3" s="24"/>
      <c r="E3" s="39" t="s">
        <v>6</v>
      </c>
    </row>
    <row r="4" spans="1:6" x14ac:dyDescent="0.25">
      <c r="A4" s="40" t="s">
        <v>55</v>
      </c>
      <c r="B4" s="41"/>
      <c r="C4" s="41"/>
      <c r="D4" s="41"/>
      <c r="E4" s="42"/>
    </row>
    <row r="5" spans="1:6" x14ac:dyDescent="0.25">
      <c r="A5" s="86" t="s">
        <v>51</v>
      </c>
      <c r="B5" s="102" t="s">
        <v>48</v>
      </c>
      <c r="C5" s="102" t="s">
        <v>52</v>
      </c>
      <c r="D5" s="102" t="s">
        <v>50</v>
      </c>
      <c r="E5" s="102" t="s">
        <v>1</v>
      </c>
    </row>
    <row r="6" spans="1:6" x14ac:dyDescent="0.25">
      <c r="A6" s="87" t="s">
        <v>53</v>
      </c>
      <c r="B6" s="103"/>
      <c r="C6" s="103"/>
      <c r="D6" s="103"/>
      <c r="E6" s="103"/>
    </row>
    <row r="7" spans="1:6" x14ac:dyDescent="0.25">
      <c r="A7" s="93">
        <v>36526</v>
      </c>
      <c r="B7" s="48">
        <f>2308+745</f>
        <v>3053</v>
      </c>
      <c r="C7" s="48">
        <v>118</v>
      </c>
      <c r="D7" s="48">
        <f>1023+411</f>
        <v>1434</v>
      </c>
      <c r="E7" s="48">
        <v>220</v>
      </c>
    </row>
    <row r="8" spans="1:6" x14ac:dyDescent="0.25">
      <c r="A8" s="94">
        <v>36557</v>
      </c>
      <c r="B8" s="49">
        <f>635+710</f>
        <v>1345</v>
      </c>
      <c r="C8" s="49">
        <v>19</v>
      </c>
      <c r="D8" s="49">
        <f>2020+306</f>
        <v>2326</v>
      </c>
      <c r="E8" s="49">
        <v>105</v>
      </c>
    </row>
    <row r="9" spans="1:6" x14ac:dyDescent="0.25">
      <c r="A9" s="94">
        <v>36586</v>
      </c>
      <c r="B9" s="49">
        <f>1655+629</f>
        <v>2284</v>
      </c>
      <c r="C9" s="49">
        <v>53</v>
      </c>
      <c r="D9" s="49">
        <f>3239+160</f>
        <v>3399</v>
      </c>
      <c r="E9" s="49">
        <v>94</v>
      </c>
    </row>
    <row r="10" spans="1:6" x14ac:dyDescent="0.25">
      <c r="A10" s="94">
        <v>36617</v>
      </c>
      <c r="B10" s="49">
        <f>4414+902</f>
        <v>5316</v>
      </c>
      <c r="C10" s="49">
        <v>454</v>
      </c>
      <c r="D10" s="49">
        <f>4713+332</f>
        <v>5045</v>
      </c>
      <c r="E10" s="49">
        <v>166</v>
      </c>
    </row>
    <row r="11" spans="1:6" x14ac:dyDescent="0.25">
      <c r="A11" s="94">
        <v>36647</v>
      </c>
      <c r="B11" s="49">
        <f>3691+5470</f>
        <v>9161</v>
      </c>
      <c r="C11" s="49">
        <v>513</v>
      </c>
      <c r="D11" s="49">
        <f>2091+4511</f>
        <v>6602</v>
      </c>
      <c r="E11" s="49">
        <v>1402</v>
      </c>
    </row>
    <row r="12" spans="1:6" x14ac:dyDescent="0.25">
      <c r="A12" s="94">
        <v>36678</v>
      </c>
      <c r="B12" s="49">
        <f>3204+5478</f>
        <v>8682</v>
      </c>
      <c r="C12" s="49">
        <v>481</v>
      </c>
      <c r="D12" s="49">
        <f>4807+3338</f>
        <v>8145</v>
      </c>
      <c r="E12" s="49">
        <v>1204</v>
      </c>
    </row>
    <row r="13" spans="1:6" x14ac:dyDescent="0.25">
      <c r="A13" s="94">
        <v>36708</v>
      </c>
      <c r="B13" s="49">
        <f>3989+4420</f>
        <v>8409</v>
      </c>
      <c r="C13" s="49">
        <v>432</v>
      </c>
      <c r="D13" s="49">
        <f>3467+2972</f>
        <v>6439</v>
      </c>
      <c r="E13" s="49">
        <v>1108</v>
      </c>
    </row>
    <row r="14" spans="1:6" x14ac:dyDescent="0.25">
      <c r="A14" s="94">
        <v>36739</v>
      </c>
      <c r="B14" s="49">
        <f>4562+3700</f>
        <v>8262</v>
      </c>
      <c r="C14" s="49">
        <v>261</v>
      </c>
      <c r="D14" s="49">
        <f>3982+2366</f>
        <v>6348</v>
      </c>
      <c r="E14" s="49">
        <v>831</v>
      </c>
    </row>
    <row r="15" spans="1:6" x14ac:dyDescent="0.25">
      <c r="A15" s="94">
        <v>36770</v>
      </c>
      <c r="B15" s="49">
        <f>4950+3395</f>
        <v>8345</v>
      </c>
      <c r="C15" s="49">
        <v>50</v>
      </c>
      <c r="D15" s="49">
        <f>2789+1844</f>
        <v>4633</v>
      </c>
      <c r="E15" s="49">
        <v>709</v>
      </c>
    </row>
    <row r="16" spans="1:6" x14ac:dyDescent="0.25">
      <c r="A16" s="94">
        <v>36800</v>
      </c>
      <c r="B16" s="49">
        <f>5048+3466</f>
        <v>8514</v>
      </c>
      <c r="C16" s="49">
        <v>201</v>
      </c>
      <c r="D16" s="49">
        <f>2692+1323</f>
        <v>4015</v>
      </c>
      <c r="E16" s="49">
        <v>547</v>
      </c>
    </row>
    <row r="17" spans="1:10" x14ac:dyDescent="0.25">
      <c r="A17" s="94">
        <v>36831</v>
      </c>
      <c r="B17" s="49">
        <f>5069+3060</f>
        <v>8129</v>
      </c>
      <c r="C17" s="49">
        <v>103</v>
      </c>
      <c r="D17" s="49">
        <f>2778+1608</f>
        <v>4386</v>
      </c>
      <c r="E17" s="49">
        <v>533</v>
      </c>
    </row>
    <row r="18" spans="1:10" x14ac:dyDescent="0.25">
      <c r="A18" s="94">
        <v>36861</v>
      </c>
      <c r="B18" s="49">
        <f>5391+2413</f>
        <v>7804</v>
      </c>
      <c r="C18" s="49">
        <v>394</v>
      </c>
      <c r="D18" s="49">
        <f>3445+1491</f>
        <v>4936</v>
      </c>
      <c r="E18" s="49">
        <v>372</v>
      </c>
    </row>
    <row r="19" spans="1:10" x14ac:dyDescent="0.25">
      <c r="A19" s="94">
        <v>37257</v>
      </c>
      <c r="B19" s="49">
        <f>3025+837</f>
        <v>3862</v>
      </c>
      <c r="C19" s="49">
        <f>180</f>
        <v>180</v>
      </c>
      <c r="D19" s="49">
        <f>2321+279</f>
        <v>2600</v>
      </c>
      <c r="E19" s="49">
        <v>597</v>
      </c>
      <c r="F19" s="3"/>
      <c r="G19" s="1"/>
      <c r="H19" s="1"/>
      <c r="I19" s="1"/>
      <c r="J19" s="2"/>
    </row>
    <row r="20" spans="1:10" x14ac:dyDescent="0.25">
      <c r="A20" s="94">
        <v>37288</v>
      </c>
      <c r="B20" s="49">
        <f>1824+823</f>
        <v>2647</v>
      </c>
      <c r="C20" s="49">
        <v>271</v>
      </c>
      <c r="D20" s="49">
        <f>1514+252</f>
        <v>1766</v>
      </c>
      <c r="E20" s="49">
        <v>814</v>
      </c>
    </row>
    <row r="21" spans="1:10" x14ac:dyDescent="0.25">
      <c r="A21" s="94">
        <v>37316</v>
      </c>
      <c r="B21" s="49">
        <f>1689+738</f>
        <v>2427</v>
      </c>
      <c r="C21" s="49">
        <v>62</v>
      </c>
      <c r="D21" s="49">
        <f>2382+251</f>
        <v>2633</v>
      </c>
      <c r="E21" s="49">
        <v>511</v>
      </c>
    </row>
    <row r="22" spans="1:10" x14ac:dyDescent="0.25">
      <c r="A22" s="94">
        <v>37347</v>
      </c>
      <c r="B22" s="49">
        <f>1546+715</f>
        <v>2261</v>
      </c>
      <c r="C22" s="49">
        <v>142</v>
      </c>
      <c r="D22" s="49">
        <f>3084+245</f>
        <v>3329</v>
      </c>
      <c r="E22" s="49">
        <v>478</v>
      </c>
    </row>
    <row r="23" spans="1:10" x14ac:dyDescent="0.25">
      <c r="A23" s="94">
        <v>37377</v>
      </c>
      <c r="B23" s="49">
        <f>1317+703</f>
        <v>2020</v>
      </c>
      <c r="C23" s="49">
        <v>66</v>
      </c>
      <c r="D23" s="49">
        <f>3757+244</f>
        <v>4001</v>
      </c>
      <c r="E23" s="49">
        <v>324</v>
      </c>
    </row>
    <row r="24" spans="1:10" x14ac:dyDescent="0.25">
      <c r="A24" s="94">
        <v>37408</v>
      </c>
      <c r="B24" s="49"/>
      <c r="C24" s="49"/>
      <c r="D24" s="49"/>
      <c r="E24" s="49"/>
    </row>
    <row r="25" spans="1:10" x14ac:dyDescent="0.25">
      <c r="A25" s="94">
        <v>37438</v>
      </c>
      <c r="B25" s="49"/>
      <c r="C25" s="49"/>
      <c r="D25" s="49"/>
      <c r="E25" s="49"/>
    </row>
    <row r="26" spans="1:10" x14ac:dyDescent="0.25">
      <c r="A26" s="94">
        <v>37469</v>
      </c>
      <c r="B26" s="49">
        <v>761</v>
      </c>
      <c r="C26" s="49">
        <v>194</v>
      </c>
      <c r="D26" s="49">
        <v>2821</v>
      </c>
      <c r="E26" s="49">
        <v>500</v>
      </c>
    </row>
    <row r="27" spans="1:10" x14ac:dyDescent="0.25">
      <c r="A27" s="94">
        <v>37500</v>
      </c>
      <c r="B27" s="49">
        <v>1225</v>
      </c>
      <c r="C27" s="49">
        <v>127</v>
      </c>
      <c r="D27" s="49">
        <v>1186</v>
      </c>
      <c r="E27" s="49">
        <v>458</v>
      </c>
    </row>
    <row r="28" spans="1:10" x14ac:dyDescent="0.25">
      <c r="A28" s="94">
        <v>37530</v>
      </c>
      <c r="B28" s="49">
        <v>1123</v>
      </c>
      <c r="C28" s="49">
        <v>181</v>
      </c>
      <c r="D28" s="49">
        <v>911</v>
      </c>
      <c r="E28" s="49">
        <v>719</v>
      </c>
    </row>
    <row r="29" spans="1:10" x14ac:dyDescent="0.25">
      <c r="A29" s="94">
        <v>37561</v>
      </c>
      <c r="B29" s="49">
        <v>321</v>
      </c>
      <c r="C29" s="49">
        <v>228</v>
      </c>
      <c r="D29" s="49">
        <v>926</v>
      </c>
      <c r="E29" s="49">
        <v>773</v>
      </c>
    </row>
    <row r="30" spans="1:10" x14ac:dyDescent="0.25">
      <c r="A30" s="94">
        <v>37591</v>
      </c>
      <c r="B30" s="49">
        <v>1339</v>
      </c>
      <c r="C30" s="49">
        <v>194</v>
      </c>
      <c r="D30" s="49">
        <v>776</v>
      </c>
      <c r="E30" s="49">
        <v>574</v>
      </c>
    </row>
    <row r="31" spans="1:10" x14ac:dyDescent="0.25">
      <c r="A31" s="94">
        <v>37622</v>
      </c>
      <c r="B31" s="49">
        <f>5056+2185</f>
        <v>7241</v>
      </c>
      <c r="C31" s="49">
        <v>481</v>
      </c>
      <c r="D31" s="49">
        <f>3389+1509</f>
        <v>4898</v>
      </c>
      <c r="E31" s="49">
        <v>323</v>
      </c>
    </row>
    <row r="32" spans="1:10" x14ac:dyDescent="0.25">
      <c r="A32" s="94">
        <v>37653</v>
      </c>
      <c r="B32" s="49">
        <f>4862+2172</f>
        <v>7034</v>
      </c>
      <c r="C32" s="49">
        <v>647</v>
      </c>
      <c r="D32" s="49">
        <f>3542+1591</f>
        <v>5133</v>
      </c>
      <c r="E32" s="49">
        <v>467</v>
      </c>
    </row>
    <row r="33" spans="1:5" x14ac:dyDescent="0.25">
      <c r="A33" s="94">
        <v>37681</v>
      </c>
      <c r="B33" s="49">
        <f>4913+2051</f>
        <v>6964</v>
      </c>
      <c r="C33" s="49">
        <v>519</v>
      </c>
      <c r="D33" s="49">
        <f>3053+1136</f>
        <v>4189</v>
      </c>
      <c r="E33" s="49">
        <v>230</v>
      </c>
    </row>
    <row r="34" spans="1:5" x14ac:dyDescent="0.25">
      <c r="A34" s="94">
        <v>37712</v>
      </c>
      <c r="B34" s="49">
        <f>4056+1825</f>
        <v>5881</v>
      </c>
      <c r="C34" s="49">
        <v>484</v>
      </c>
      <c r="D34" s="49">
        <f>2194+694</f>
        <v>2888</v>
      </c>
      <c r="E34" s="49">
        <v>352</v>
      </c>
    </row>
    <row r="35" spans="1:5" x14ac:dyDescent="0.25">
      <c r="A35" s="94">
        <v>37742</v>
      </c>
      <c r="B35" s="49">
        <f>4483+1716</f>
        <v>6199</v>
      </c>
      <c r="C35" s="49">
        <v>329</v>
      </c>
      <c r="D35" s="49">
        <f>2768+847</f>
        <v>3615</v>
      </c>
      <c r="E35" s="49">
        <v>894</v>
      </c>
    </row>
    <row r="36" spans="1:5" x14ac:dyDescent="0.25">
      <c r="A36" s="94">
        <v>37773</v>
      </c>
      <c r="B36" s="49">
        <f>4176+1601</f>
        <v>5777</v>
      </c>
      <c r="C36" s="49">
        <v>203</v>
      </c>
      <c r="D36" s="49">
        <f>1802+998</f>
        <v>2800</v>
      </c>
      <c r="E36" s="49">
        <v>852</v>
      </c>
    </row>
    <row r="37" spans="1:5" x14ac:dyDescent="0.25">
      <c r="A37" s="94">
        <v>37803</v>
      </c>
      <c r="B37" s="49">
        <f>3343+1901</f>
        <v>5244</v>
      </c>
      <c r="C37" s="49">
        <v>558</v>
      </c>
      <c r="D37" s="49">
        <f>1323+1216</f>
        <v>2539</v>
      </c>
      <c r="E37" s="49">
        <v>309</v>
      </c>
    </row>
    <row r="38" spans="1:5" x14ac:dyDescent="0.25">
      <c r="A38" s="94">
        <v>37834</v>
      </c>
      <c r="B38" s="49">
        <f>2628+1523</f>
        <v>4151</v>
      </c>
      <c r="C38" s="49">
        <v>411</v>
      </c>
      <c r="D38" s="49">
        <f>1515+1524</f>
        <v>3039</v>
      </c>
      <c r="E38" s="49">
        <v>147</v>
      </c>
    </row>
    <row r="39" spans="1:5" x14ac:dyDescent="0.25">
      <c r="A39" s="94">
        <v>37865</v>
      </c>
      <c r="B39" s="49">
        <f>2224+1804</f>
        <v>4028</v>
      </c>
      <c r="C39" s="49">
        <v>477</v>
      </c>
      <c r="D39" s="49">
        <f>2302+1910</f>
        <v>4212</v>
      </c>
      <c r="E39" s="49">
        <v>217</v>
      </c>
    </row>
    <row r="40" spans="1:5" x14ac:dyDescent="0.25">
      <c r="A40" s="94">
        <v>37895</v>
      </c>
      <c r="B40" s="49">
        <f>2736+1939</f>
        <v>4675</v>
      </c>
      <c r="C40" s="49">
        <v>346</v>
      </c>
      <c r="D40" s="49">
        <f>2893+1667</f>
        <v>4560</v>
      </c>
      <c r="E40" s="49">
        <v>58</v>
      </c>
    </row>
    <row r="41" spans="1:5" x14ac:dyDescent="0.25">
      <c r="A41" s="94">
        <v>37926</v>
      </c>
      <c r="B41" s="49">
        <f>2224+1939</f>
        <v>4163</v>
      </c>
      <c r="C41" s="49">
        <v>259</v>
      </c>
      <c r="D41" s="49">
        <f>2222+1717</f>
        <v>3939</v>
      </c>
      <c r="E41" s="49">
        <v>416</v>
      </c>
    </row>
    <row r="42" spans="1:5" x14ac:dyDescent="0.25">
      <c r="A42" s="94">
        <v>37956</v>
      </c>
      <c r="B42" s="49">
        <f>1706+2213</f>
        <v>3919</v>
      </c>
      <c r="C42" s="49">
        <v>186</v>
      </c>
      <c r="D42" s="49">
        <f>2181+1548</f>
        <v>3729</v>
      </c>
      <c r="E42" s="49">
        <v>902</v>
      </c>
    </row>
    <row r="43" spans="1:5" x14ac:dyDescent="0.25">
      <c r="A43" s="94">
        <v>38353</v>
      </c>
      <c r="B43" s="49">
        <v>1734</v>
      </c>
      <c r="C43" s="49">
        <v>363</v>
      </c>
      <c r="D43" s="49">
        <v>1737</v>
      </c>
      <c r="E43" s="49">
        <v>1186</v>
      </c>
    </row>
    <row r="44" spans="1:5" x14ac:dyDescent="0.25">
      <c r="A44" s="94">
        <v>38384</v>
      </c>
      <c r="B44" s="49">
        <v>1155</v>
      </c>
      <c r="C44" s="49">
        <v>394</v>
      </c>
      <c r="D44" s="49">
        <v>1776</v>
      </c>
      <c r="E44" s="49">
        <v>1159</v>
      </c>
    </row>
    <row r="45" spans="1:5" x14ac:dyDescent="0.25">
      <c r="A45" s="94">
        <v>38412</v>
      </c>
      <c r="B45" s="49">
        <v>1371</v>
      </c>
      <c r="C45" s="49">
        <v>339</v>
      </c>
      <c r="D45" s="49">
        <v>1892</v>
      </c>
      <c r="E45" s="49">
        <v>1171</v>
      </c>
    </row>
    <row r="46" spans="1:5" x14ac:dyDescent="0.25">
      <c r="A46" s="94">
        <v>38443</v>
      </c>
      <c r="B46" s="49">
        <v>2495</v>
      </c>
      <c r="C46" s="49">
        <v>306</v>
      </c>
      <c r="D46" s="49">
        <v>1167</v>
      </c>
      <c r="E46" s="49">
        <v>1743</v>
      </c>
    </row>
    <row r="47" spans="1:5" x14ac:dyDescent="0.25">
      <c r="A47" s="94">
        <v>38473</v>
      </c>
      <c r="B47" s="49">
        <v>2322</v>
      </c>
      <c r="C47" s="49">
        <v>224</v>
      </c>
      <c r="D47" s="49">
        <v>2590</v>
      </c>
      <c r="E47" s="49">
        <v>1526</v>
      </c>
    </row>
    <row r="48" spans="1:5" x14ac:dyDescent="0.25">
      <c r="A48" s="94">
        <v>38504</v>
      </c>
      <c r="B48" s="49">
        <v>2565</v>
      </c>
      <c r="C48" s="49">
        <v>98</v>
      </c>
      <c r="D48" s="49">
        <v>2428</v>
      </c>
      <c r="E48" s="49">
        <v>1314</v>
      </c>
    </row>
    <row r="49" spans="1:5" x14ac:dyDescent="0.25">
      <c r="A49" s="94">
        <v>38534</v>
      </c>
      <c r="B49" s="49">
        <v>2163</v>
      </c>
      <c r="C49" s="49">
        <v>79</v>
      </c>
      <c r="D49" s="49">
        <v>2342</v>
      </c>
      <c r="E49" s="49">
        <v>789</v>
      </c>
    </row>
    <row r="50" spans="1:5" x14ac:dyDescent="0.25">
      <c r="A50" s="94">
        <v>38565</v>
      </c>
      <c r="B50" s="49">
        <v>1677</v>
      </c>
      <c r="C50" s="49">
        <v>49</v>
      </c>
      <c r="D50" s="49">
        <v>1090</v>
      </c>
      <c r="E50" s="49">
        <v>595</v>
      </c>
    </row>
    <row r="51" spans="1:5" x14ac:dyDescent="0.25">
      <c r="A51" s="94">
        <v>38596</v>
      </c>
      <c r="B51" s="49">
        <v>967</v>
      </c>
      <c r="C51" s="49">
        <v>164</v>
      </c>
      <c r="D51" s="49">
        <v>1014</v>
      </c>
      <c r="E51" s="49">
        <v>1012</v>
      </c>
    </row>
    <row r="52" spans="1:5" x14ac:dyDescent="0.25">
      <c r="A52" s="94">
        <v>38626</v>
      </c>
      <c r="B52" s="49">
        <v>1254</v>
      </c>
      <c r="C52" s="49">
        <v>182</v>
      </c>
      <c r="D52" s="49">
        <v>1398</v>
      </c>
      <c r="E52" s="49">
        <v>909</v>
      </c>
    </row>
    <row r="53" spans="1:5" x14ac:dyDescent="0.25">
      <c r="A53" s="94">
        <v>38657</v>
      </c>
      <c r="B53" s="49">
        <v>1130</v>
      </c>
      <c r="C53" s="49">
        <v>58</v>
      </c>
      <c r="D53" s="49">
        <v>563</v>
      </c>
      <c r="E53" s="49">
        <v>1419</v>
      </c>
    </row>
    <row r="54" spans="1:5" x14ac:dyDescent="0.25">
      <c r="A54" s="94">
        <v>38687</v>
      </c>
      <c r="B54" s="49">
        <v>948</v>
      </c>
      <c r="C54" s="49">
        <v>268</v>
      </c>
      <c r="D54" s="49">
        <v>1517</v>
      </c>
      <c r="E54" s="49">
        <v>1423</v>
      </c>
    </row>
    <row r="55" spans="1:5" x14ac:dyDescent="0.25">
      <c r="A55" s="94">
        <v>38718</v>
      </c>
      <c r="B55" s="49">
        <v>1548</v>
      </c>
      <c r="C55" s="49">
        <v>315</v>
      </c>
      <c r="D55" s="49">
        <v>1757</v>
      </c>
      <c r="E55" s="49">
        <v>1571</v>
      </c>
    </row>
    <row r="56" spans="1:5" x14ac:dyDescent="0.25">
      <c r="A56" s="94">
        <v>38749</v>
      </c>
      <c r="B56" s="49">
        <v>3231</v>
      </c>
      <c r="C56" s="49">
        <v>248</v>
      </c>
      <c r="D56" s="49">
        <v>1668</v>
      </c>
      <c r="E56" s="49">
        <v>1520</v>
      </c>
    </row>
    <row r="57" spans="1:5" x14ac:dyDescent="0.25">
      <c r="A57" s="94">
        <v>38777</v>
      </c>
      <c r="B57" s="49">
        <v>3144</v>
      </c>
      <c r="C57" s="49">
        <v>271</v>
      </c>
      <c r="D57" s="49">
        <v>2913</v>
      </c>
      <c r="E57" s="49">
        <v>1242</v>
      </c>
    </row>
    <row r="58" spans="1:5" x14ac:dyDescent="0.25">
      <c r="A58" s="94">
        <v>38808</v>
      </c>
      <c r="B58" s="49">
        <v>2316</v>
      </c>
      <c r="C58" s="49">
        <v>314</v>
      </c>
      <c r="D58" s="49">
        <v>2203</v>
      </c>
      <c r="E58" s="49">
        <v>1360</v>
      </c>
    </row>
    <row r="59" spans="1:5" x14ac:dyDescent="0.25">
      <c r="A59" s="94">
        <v>38838</v>
      </c>
      <c r="B59" s="49">
        <v>1124</v>
      </c>
      <c r="C59" s="49">
        <v>409</v>
      </c>
      <c r="D59" s="49">
        <v>852</v>
      </c>
      <c r="E59" s="49">
        <v>1848</v>
      </c>
    </row>
    <row r="60" spans="1:5" x14ac:dyDescent="0.25">
      <c r="A60" s="94">
        <v>38869</v>
      </c>
      <c r="B60" s="49">
        <v>1653</v>
      </c>
      <c r="C60" s="49">
        <v>462</v>
      </c>
      <c r="D60" s="49">
        <v>785</v>
      </c>
      <c r="E60" s="49">
        <v>1278</v>
      </c>
    </row>
    <row r="61" spans="1:5" x14ac:dyDescent="0.25">
      <c r="A61" s="94">
        <v>38899</v>
      </c>
      <c r="B61" s="49">
        <v>2170</v>
      </c>
      <c r="C61" s="49">
        <v>453</v>
      </c>
      <c r="D61" s="49">
        <v>1570</v>
      </c>
      <c r="E61" s="49">
        <v>969</v>
      </c>
    </row>
    <row r="62" spans="1:5" x14ac:dyDescent="0.25">
      <c r="A62" s="94">
        <v>38930</v>
      </c>
      <c r="B62" s="49">
        <v>2822</v>
      </c>
      <c r="C62" s="49">
        <v>503</v>
      </c>
      <c r="D62" s="49">
        <v>1669</v>
      </c>
      <c r="E62" s="49">
        <v>1609</v>
      </c>
    </row>
    <row r="63" spans="1:5" x14ac:dyDescent="0.25">
      <c r="A63" s="94">
        <v>38961</v>
      </c>
      <c r="B63" s="49">
        <v>3535</v>
      </c>
      <c r="C63" s="49">
        <v>504</v>
      </c>
      <c r="D63" s="49">
        <v>2965</v>
      </c>
      <c r="E63" s="49">
        <v>1731</v>
      </c>
    </row>
    <row r="64" spans="1:5" x14ac:dyDescent="0.25">
      <c r="A64" s="94">
        <v>38991</v>
      </c>
      <c r="B64" s="49">
        <v>4476</v>
      </c>
      <c r="C64" s="49">
        <v>518</v>
      </c>
      <c r="D64" s="49">
        <v>2767</v>
      </c>
      <c r="E64" s="49">
        <v>1277</v>
      </c>
    </row>
    <row r="65" spans="1:8" x14ac:dyDescent="0.25">
      <c r="A65" s="94">
        <v>39022</v>
      </c>
      <c r="B65" s="49">
        <v>5572</v>
      </c>
      <c r="C65" s="49">
        <v>474</v>
      </c>
      <c r="D65" s="49">
        <v>3510</v>
      </c>
      <c r="E65" s="49">
        <v>1282</v>
      </c>
      <c r="H65" s="6"/>
    </row>
    <row r="66" spans="1:8" x14ac:dyDescent="0.25">
      <c r="A66" s="94">
        <v>39052</v>
      </c>
      <c r="B66" s="49">
        <v>5619</v>
      </c>
      <c r="C66" s="49">
        <v>358</v>
      </c>
      <c r="D66" s="49">
        <v>3097</v>
      </c>
      <c r="E66" s="49">
        <v>1058</v>
      </c>
      <c r="H66" s="6"/>
    </row>
    <row r="67" spans="1:8" x14ac:dyDescent="0.25">
      <c r="A67" s="94">
        <v>39083</v>
      </c>
      <c r="B67" s="49">
        <v>4938</v>
      </c>
      <c r="C67" s="49">
        <v>241</v>
      </c>
      <c r="D67" s="49">
        <v>3092</v>
      </c>
      <c r="E67" s="49">
        <v>782</v>
      </c>
      <c r="H67" s="6"/>
    </row>
    <row r="68" spans="1:8" x14ac:dyDescent="0.25">
      <c r="A68" s="94">
        <v>39114</v>
      </c>
      <c r="B68" s="49">
        <v>5618</v>
      </c>
      <c r="C68" s="49">
        <v>262</v>
      </c>
      <c r="D68" s="49">
        <v>2060</v>
      </c>
      <c r="E68" s="49">
        <v>292</v>
      </c>
      <c r="H68" s="6"/>
    </row>
    <row r="69" spans="1:8" x14ac:dyDescent="0.25">
      <c r="A69" s="94">
        <v>39142</v>
      </c>
      <c r="B69" s="49">
        <v>5053</v>
      </c>
      <c r="C69" s="49">
        <v>201</v>
      </c>
      <c r="D69" s="49">
        <v>2270</v>
      </c>
      <c r="E69" s="49">
        <v>377</v>
      </c>
    </row>
    <row r="70" spans="1:8" x14ac:dyDescent="0.25">
      <c r="A70" s="94">
        <v>39173</v>
      </c>
      <c r="B70" s="49">
        <v>2748</v>
      </c>
      <c r="C70" s="49">
        <v>217</v>
      </c>
      <c r="D70" s="49">
        <v>2039</v>
      </c>
      <c r="E70" s="49">
        <v>649</v>
      </c>
    </row>
    <row r="71" spans="1:8" x14ac:dyDescent="0.25">
      <c r="A71" s="94">
        <v>39203</v>
      </c>
      <c r="B71" s="49">
        <v>1519</v>
      </c>
      <c r="C71" s="49">
        <v>244</v>
      </c>
      <c r="D71" s="49">
        <v>1545</v>
      </c>
      <c r="E71" s="49">
        <v>1241</v>
      </c>
    </row>
    <row r="72" spans="1:8" x14ac:dyDescent="0.25">
      <c r="A72" s="94">
        <v>39234</v>
      </c>
      <c r="B72" s="49">
        <v>565</v>
      </c>
      <c r="C72" s="49">
        <v>175</v>
      </c>
      <c r="D72" s="49">
        <v>894</v>
      </c>
      <c r="E72" s="49">
        <v>1740</v>
      </c>
    </row>
    <row r="73" spans="1:8" x14ac:dyDescent="0.25">
      <c r="A73" s="94">
        <v>39264</v>
      </c>
      <c r="B73" s="49">
        <v>359</v>
      </c>
      <c r="C73" s="49">
        <v>395</v>
      </c>
      <c r="D73" s="49">
        <v>1158</v>
      </c>
      <c r="E73" s="49">
        <v>1985</v>
      </c>
    </row>
    <row r="74" spans="1:8" x14ac:dyDescent="0.25">
      <c r="A74" s="94">
        <v>39295</v>
      </c>
      <c r="B74" s="49">
        <v>1149</v>
      </c>
      <c r="C74" s="49">
        <v>404</v>
      </c>
      <c r="D74" s="49">
        <v>2400</v>
      </c>
      <c r="E74" s="49">
        <v>1867</v>
      </c>
    </row>
    <row r="75" spans="1:8" x14ac:dyDescent="0.25">
      <c r="A75" s="94">
        <v>39326</v>
      </c>
      <c r="B75" s="49">
        <v>2934</v>
      </c>
      <c r="C75" s="49">
        <v>413</v>
      </c>
      <c r="D75" s="49">
        <v>3020</v>
      </c>
      <c r="E75" s="49">
        <v>1469</v>
      </c>
    </row>
    <row r="76" spans="1:8" x14ac:dyDescent="0.25">
      <c r="A76" s="94">
        <v>39356</v>
      </c>
      <c r="B76" s="49">
        <v>4324</v>
      </c>
      <c r="C76" s="49">
        <v>312</v>
      </c>
      <c r="D76" s="49">
        <v>3744</v>
      </c>
      <c r="E76" s="49">
        <v>1479</v>
      </c>
    </row>
    <row r="77" spans="1:8" x14ac:dyDescent="0.25">
      <c r="A77" s="94">
        <v>39387</v>
      </c>
      <c r="B77" s="49">
        <v>5120</v>
      </c>
      <c r="C77" s="49">
        <v>172</v>
      </c>
      <c r="D77" s="49">
        <v>3756</v>
      </c>
      <c r="E77" s="49">
        <v>832</v>
      </c>
    </row>
    <row r="78" spans="1:8" x14ac:dyDescent="0.25">
      <c r="A78" s="94">
        <v>39417</v>
      </c>
      <c r="B78" s="49">
        <v>3213</v>
      </c>
      <c r="C78" s="49">
        <v>166</v>
      </c>
      <c r="D78" s="49">
        <v>2315</v>
      </c>
      <c r="E78" s="49">
        <v>620</v>
      </c>
    </row>
    <row r="79" spans="1:8" x14ac:dyDescent="0.25">
      <c r="A79" s="94">
        <v>39448</v>
      </c>
      <c r="B79" s="50">
        <v>3360</v>
      </c>
      <c r="C79" s="50">
        <v>275</v>
      </c>
      <c r="D79" s="50">
        <v>2404</v>
      </c>
      <c r="E79" s="50">
        <v>237</v>
      </c>
    </row>
    <row r="80" spans="1:8" x14ac:dyDescent="0.25">
      <c r="A80" s="94">
        <v>39479</v>
      </c>
      <c r="B80" s="50">
        <v>2505</v>
      </c>
      <c r="C80" s="50">
        <v>488</v>
      </c>
      <c r="D80" s="50">
        <v>3319</v>
      </c>
      <c r="E80" s="50">
        <v>1341</v>
      </c>
    </row>
    <row r="81" spans="1:5" x14ac:dyDescent="0.25">
      <c r="A81" s="94">
        <v>39508</v>
      </c>
      <c r="B81" s="50">
        <v>2749</v>
      </c>
      <c r="C81" s="50">
        <v>490</v>
      </c>
      <c r="D81" s="50">
        <v>3401</v>
      </c>
      <c r="E81" s="50">
        <v>1961</v>
      </c>
    </row>
    <row r="82" spans="1:5" x14ac:dyDescent="0.25">
      <c r="A82" s="94">
        <v>39539</v>
      </c>
      <c r="B82" s="50">
        <v>3084</v>
      </c>
      <c r="C82" s="50">
        <v>445</v>
      </c>
      <c r="D82" s="50">
        <v>1427</v>
      </c>
      <c r="E82" s="50">
        <v>1328</v>
      </c>
    </row>
    <row r="83" spans="1:5" x14ac:dyDescent="0.25">
      <c r="A83" s="94">
        <v>39569</v>
      </c>
      <c r="B83" s="50">
        <v>3645</v>
      </c>
      <c r="C83" s="50">
        <v>327</v>
      </c>
      <c r="D83" s="50">
        <v>2047</v>
      </c>
      <c r="E83" s="50">
        <v>1768</v>
      </c>
    </row>
    <row r="84" spans="1:5" x14ac:dyDescent="0.25">
      <c r="A84" s="94">
        <v>39600</v>
      </c>
      <c r="B84" s="50">
        <v>4850</v>
      </c>
      <c r="C84" s="50">
        <v>111</v>
      </c>
      <c r="D84" s="50">
        <v>2421</v>
      </c>
      <c r="E84" s="50">
        <v>1027</v>
      </c>
    </row>
    <row r="85" spans="1:5" x14ac:dyDescent="0.25">
      <c r="A85" s="94">
        <v>39630</v>
      </c>
      <c r="B85" s="50">
        <v>3982</v>
      </c>
      <c r="C85" s="50">
        <v>100</v>
      </c>
      <c r="D85" s="50">
        <v>3398</v>
      </c>
      <c r="E85" s="50">
        <v>418</v>
      </c>
    </row>
    <row r="86" spans="1:5" x14ac:dyDescent="0.25">
      <c r="A86" s="94">
        <v>39661</v>
      </c>
      <c r="B86" s="50">
        <v>3930</v>
      </c>
      <c r="C86" s="50">
        <v>234</v>
      </c>
      <c r="D86" s="50">
        <v>4029</v>
      </c>
      <c r="E86" s="50">
        <v>82</v>
      </c>
    </row>
    <row r="87" spans="1:5" x14ac:dyDescent="0.25">
      <c r="A87" s="94">
        <v>39692</v>
      </c>
      <c r="B87" s="50">
        <v>2702</v>
      </c>
      <c r="C87" s="50">
        <v>55</v>
      </c>
      <c r="D87" s="50">
        <v>4313</v>
      </c>
      <c r="E87" s="50">
        <v>325</v>
      </c>
    </row>
    <row r="88" spans="1:5" x14ac:dyDescent="0.25">
      <c r="A88" s="94">
        <v>39722</v>
      </c>
      <c r="B88" s="50">
        <v>2265</v>
      </c>
      <c r="C88" s="50">
        <v>422</v>
      </c>
      <c r="D88" s="50">
        <v>3455</v>
      </c>
      <c r="E88" s="50">
        <v>981</v>
      </c>
    </row>
    <row r="89" spans="1:5" x14ac:dyDescent="0.25">
      <c r="A89" s="94">
        <v>39753</v>
      </c>
      <c r="B89" s="50">
        <v>2712</v>
      </c>
      <c r="C89" s="50">
        <v>346</v>
      </c>
      <c r="D89" s="50">
        <v>3759</v>
      </c>
      <c r="E89" s="50">
        <v>1159</v>
      </c>
    </row>
    <row r="90" spans="1:5" x14ac:dyDescent="0.25">
      <c r="A90" s="94">
        <v>39783</v>
      </c>
      <c r="B90" s="50">
        <v>1055</v>
      </c>
      <c r="C90" s="50">
        <v>349</v>
      </c>
      <c r="D90" s="50">
        <v>2052</v>
      </c>
      <c r="E90" s="50">
        <v>366</v>
      </c>
    </row>
    <row r="91" spans="1:5" x14ac:dyDescent="0.25">
      <c r="A91" s="94">
        <v>39814</v>
      </c>
      <c r="B91" s="50">
        <v>730</v>
      </c>
      <c r="C91" s="50">
        <v>525</v>
      </c>
      <c r="D91" s="50">
        <v>505</v>
      </c>
      <c r="E91" s="50">
        <v>750</v>
      </c>
    </row>
    <row r="92" spans="1:5" x14ac:dyDescent="0.25">
      <c r="A92" s="94">
        <v>39845</v>
      </c>
      <c r="B92" s="50">
        <v>1368</v>
      </c>
      <c r="C92" s="50">
        <v>503</v>
      </c>
      <c r="D92" s="50">
        <v>1303</v>
      </c>
      <c r="E92" s="50">
        <v>1097</v>
      </c>
    </row>
    <row r="93" spans="1:5" x14ac:dyDescent="0.25">
      <c r="A93" s="94">
        <v>39873</v>
      </c>
      <c r="B93" s="50">
        <v>2095</v>
      </c>
      <c r="C93" s="50">
        <v>452</v>
      </c>
      <c r="D93" s="50">
        <v>2665</v>
      </c>
      <c r="E93" s="50">
        <v>1075</v>
      </c>
    </row>
    <row r="94" spans="1:5" x14ac:dyDescent="0.25">
      <c r="A94" s="94">
        <v>39904</v>
      </c>
      <c r="B94" s="50">
        <v>3134</v>
      </c>
      <c r="C94" s="50">
        <v>361</v>
      </c>
      <c r="D94" s="50">
        <v>3442</v>
      </c>
      <c r="E94" s="50">
        <v>701</v>
      </c>
    </row>
    <row r="95" spans="1:5" x14ac:dyDescent="0.25">
      <c r="A95" s="94">
        <v>39934</v>
      </c>
      <c r="B95" s="50">
        <v>2963</v>
      </c>
      <c r="C95" s="50">
        <v>270</v>
      </c>
      <c r="D95" s="50">
        <v>3530</v>
      </c>
      <c r="E95" s="50">
        <v>1137</v>
      </c>
    </row>
    <row r="96" spans="1:5" x14ac:dyDescent="0.25">
      <c r="A96" s="94">
        <v>39965</v>
      </c>
      <c r="B96" s="50">
        <v>4657</v>
      </c>
      <c r="C96" s="50">
        <v>279</v>
      </c>
      <c r="D96" s="50">
        <v>2775</v>
      </c>
      <c r="E96" s="50">
        <v>932</v>
      </c>
    </row>
    <row r="97" spans="1:6" x14ac:dyDescent="0.25">
      <c r="A97" s="94">
        <v>39995</v>
      </c>
      <c r="B97" s="50">
        <v>2168</v>
      </c>
      <c r="C97" s="50">
        <v>143</v>
      </c>
      <c r="D97" s="50">
        <v>3596</v>
      </c>
      <c r="E97" s="50">
        <v>557</v>
      </c>
    </row>
    <row r="98" spans="1:6" x14ac:dyDescent="0.25">
      <c r="A98" s="94">
        <v>40026</v>
      </c>
      <c r="B98" s="50">
        <v>693</v>
      </c>
      <c r="C98" s="50">
        <v>72</v>
      </c>
      <c r="D98" s="50">
        <v>3485</v>
      </c>
      <c r="E98" s="50">
        <v>919</v>
      </c>
    </row>
    <row r="99" spans="1:6" x14ac:dyDescent="0.25">
      <c r="A99" s="94">
        <v>40057</v>
      </c>
      <c r="B99" s="50">
        <v>1126</v>
      </c>
      <c r="C99" s="50">
        <v>206</v>
      </c>
      <c r="D99" s="50">
        <v>2101</v>
      </c>
      <c r="E99" s="50">
        <v>798</v>
      </c>
    </row>
    <row r="100" spans="1:6" x14ac:dyDescent="0.25">
      <c r="A100" s="94">
        <v>40087</v>
      </c>
      <c r="B100" s="50">
        <v>1061</v>
      </c>
      <c r="C100" s="50">
        <v>184</v>
      </c>
      <c r="D100" s="50">
        <v>1756</v>
      </c>
      <c r="E100" s="50">
        <v>531</v>
      </c>
    </row>
    <row r="101" spans="1:6" x14ac:dyDescent="0.25">
      <c r="A101" s="94">
        <v>40118</v>
      </c>
      <c r="B101" s="50">
        <v>2395</v>
      </c>
      <c r="C101" s="50">
        <v>116</v>
      </c>
      <c r="D101" s="50">
        <v>2169</v>
      </c>
      <c r="E101" s="50">
        <v>502</v>
      </c>
    </row>
    <row r="102" spans="1:6" x14ac:dyDescent="0.25">
      <c r="A102" s="94">
        <v>40148</v>
      </c>
      <c r="B102" s="50">
        <v>1581</v>
      </c>
      <c r="C102" s="50">
        <v>406</v>
      </c>
      <c r="D102" s="50">
        <v>1263</v>
      </c>
      <c r="E102" s="50">
        <v>498</v>
      </c>
    </row>
    <row r="103" spans="1:6" x14ac:dyDescent="0.25">
      <c r="A103" s="94">
        <v>40179</v>
      </c>
      <c r="B103" s="50">
        <v>2782</v>
      </c>
      <c r="C103" s="50">
        <v>329</v>
      </c>
      <c r="D103" s="50">
        <v>1502</v>
      </c>
      <c r="E103" s="50">
        <v>561</v>
      </c>
      <c r="F103" s="4"/>
    </row>
    <row r="104" spans="1:6" x14ac:dyDescent="0.25">
      <c r="A104" s="94">
        <v>40210</v>
      </c>
      <c r="B104" s="50">
        <v>1738</v>
      </c>
      <c r="C104" s="50">
        <v>287</v>
      </c>
      <c r="D104" s="50">
        <v>2096</v>
      </c>
      <c r="E104" s="50">
        <v>1008</v>
      </c>
    </row>
    <row r="105" spans="1:6" x14ac:dyDescent="0.25">
      <c r="A105" s="94">
        <v>40238</v>
      </c>
      <c r="B105" s="50">
        <v>3141</v>
      </c>
      <c r="C105" s="50">
        <v>373</v>
      </c>
      <c r="D105" s="50">
        <v>2229</v>
      </c>
      <c r="E105" s="50">
        <v>1208</v>
      </c>
    </row>
    <row r="106" spans="1:6" x14ac:dyDescent="0.25">
      <c r="A106" s="94">
        <v>40269</v>
      </c>
      <c r="B106" s="50">
        <v>2298</v>
      </c>
      <c r="C106" s="50">
        <v>461</v>
      </c>
      <c r="D106" s="50">
        <v>1634</v>
      </c>
      <c r="E106" s="50">
        <v>1656</v>
      </c>
    </row>
    <row r="107" spans="1:6" x14ac:dyDescent="0.25">
      <c r="A107" s="94">
        <v>40299</v>
      </c>
      <c r="B107" s="50">
        <v>2486</v>
      </c>
      <c r="C107" s="50">
        <v>419</v>
      </c>
      <c r="D107" s="50">
        <v>3100</v>
      </c>
      <c r="E107" s="50">
        <v>1555</v>
      </c>
    </row>
    <row r="108" spans="1:6" x14ac:dyDescent="0.25">
      <c r="A108" s="94">
        <v>40330</v>
      </c>
      <c r="B108" s="50">
        <v>4069</v>
      </c>
      <c r="C108" s="50">
        <v>294</v>
      </c>
      <c r="D108" s="50">
        <v>4212</v>
      </c>
      <c r="E108" s="50">
        <v>1709</v>
      </c>
    </row>
    <row r="109" spans="1:6" x14ac:dyDescent="0.25">
      <c r="A109" s="94">
        <v>40360</v>
      </c>
      <c r="B109" s="50">
        <v>2933</v>
      </c>
      <c r="C109" s="50">
        <v>344</v>
      </c>
      <c r="D109" s="50">
        <v>398</v>
      </c>
      <c r="E109" s="50">
        <v>1418</v>
      </c>
    </row>
    <row r="110" spans="1:6" x14ac:dyDescent="0.25">
      <c r="A110" s="94">
        <v>40391</v>
      </c>
      <c r="B110" s="50">
        <f>2933+2053-2934-15</f>
        <v>2037</v>
      </c>
      <c r="C110" s="50">
        <f>2816+1920-2985</f>
        <v>1751</v>
      </c>
      <c r="D110" s="50">
        <f>344+135-452</f>
        <v>27</v>
      </c>
      <c r="E110" s="50">
        <f>1418-535-1</f>
        <v>882</v>
      </c>
      <c r="F110" s="7"/>
    </row>
    <row r="111" spans="1:6" x14ac:dyDescent="0.25">
      <c r="A111" s="94">
        <v>40422</v>
      </c>
      <c r="B111" s="50">
        <f>2037+3392-3149-2</f>
        <v>2278</v>
      </c>
      <c r="C111" s="50">
        <f>27+462-323-2</f>
        <v>164</v>
      </c>
      <c r="D111" s="50">
        <f>1751+3185-2557</f>
        <v>2379</v>
      </c>
      <c r="E111" s="50">
        <f>882+0-264-2</f>
        <v>616</v>
      </c>
      <c r="F111" s="5"/>
    </row>
    <row r="112" spans="1:6" x14ac:dyDescent="0.25">
      <c r="A112" s="94">
        <v>40452</v>
      </c>
      <c r="B112" s="51">
        <f>2278+1374-2329-6</f>
        <v>1317</v>
      </c>
      <c r="C112" s="51">
        <f>164+240-261-1</f>
        <v>142</v>
      </c>
      <c r="D112" s="51">
        <f>2379+1870-2303</f>
        <v>1946</v>
      </c>
      <c r="E112" s="51">
        <f>616+395-410-1</f>
        <v>600</v>
      </c>
      <c r="F112" s="5"/>
    </row>
    <row r="113" spans="1:6" x14ac:dyDescent="0.25">
      <c r="A113" s="94">
        <v>40483</v>
      </c>
      <c r="B113" s="51">
        <v>1382</v>
      </c>
      <c r="C113" s="51">
        <v>2553</v>
      </c>
      <c r="D113" s="51">
        <v>251</v>
      </c>
      <c r="E113" s="51">
        <v>529</v>
      </c>
      <c r="F113" s="5"/>
    </row>
    <row r="114" spans="1:6" x14ac:dyDescent="0.25">
      <c r="A114" s="94">
        <v>40513</v>
      </c>
      <c r="B114" s="51">
        <v>1521</v>
      </c>
      <c r="C114" s="51">
        <v>440</v>
      </c>
      <c r="D114" s="51">
        <v>1550</v>
      </c>
      <c r="E114" s="51">
        <v>626</v>
      </c>
      <c r="F114" s="5"/>
    </row>
    <row r="115" spans="1:6" x14ac:dyDescent="0.25">
      <c r="A115" s="94">
        <v>40544</v>
      </c>
      <c r="B115" s="50">
        <v>1968</v>
      </c>
      <c r="C115" s="50">
        <v>383</v>
      </c>
      <c r="D115" s="50">
        <v>3011</v>
      </c>
      <c r="E115" s="50">
        <v>1062</v>
      </c>
      <c r="F115" s="4"/>
    </row>
    <row r="116" spans="1:6" x14ac:dyDescent="0.25">
      <c r="A116" s="94">
        <v>40575</v>
      </c>
      <c r="B116" s="50">
        <v>3927</v>
      </c>
      <c r="C116" s="50">
        <v>364</v>
      </c>
      <c r="D116" s="50">
        <v>3058</v>
      </c>
      <c r="E116" s="50">
        <v>974</v>
      </c>
      <c r="F116" s="4"/>
    </row>
    <row r="117" spans="1:6" x14ac:dyDescent="0.25">
      <c r="A117" s="94">
        <v>40603</v>
      </c>
      <c r="B117" s="50">
        <v>3513</v>
      </c>
      <c r="C117" s="50">
        <v>191</v>
      </c>
      <c r="D117" s="50">
        <v>4227</v>
      </c>
      <c r="E117" s="50">
        <v>1184</v>
      </c>
      <c r="F117" s="4"/>
    </row>
    <row r="118" spans="1:6" x14ac:dyDescent="0.25">
      <c r="A118" s="94">
        <v>40634</v>
      </c>
      <c r="B118" s="50">
        <v>1274</v>
      </c>
      <c r="C118" s="50">
        <v>130</v>
      </c>
      <c r="D118" s="50">
        <v>2501</v>
      </c>
      <c r="E118" s="50">
        <v>836</v>
      </c>
      <c r="F118" s="4"/>
    </row>
    <row r="119" spans="1:6" x14ac:dyDescent="0.25">
      <c r="A119" s="94">
        <v>40664</v>
      </c>
      <c r="B119" s="50">
        <v>1572</v>
      </c>
      <c r="C119" s="50">
        <v>335</v>
      </c>
      <c r="D119" s="50">
        <v>1755</v>
      </c>
      <c r="E119" s="50">
        <v>1309</v>
      </c>
      <c r="F119" s="4"/>
    </row>
    <row r="120" spans="1:6" x14ac:dyDescent="0.25">
      <c r="A120" s="94">
        <v>40695</v>
      </c>
      <c r="B120" s="50">
        <v>1100</v>
      </c>
      <c r="C120" s="50">
        <v>465</v>
      </c>
      <c r="D120" s="50">
        <v>1433</v>
      </c>
      <c r="E120" s="50">
        <v>709</v>
      </c>
      <c r="F120" s="4"/>
    </row>
    <row r="121" spans="1:6" x14ac:dyDescent="0.25">
      <c r="A121" s="94">
        <v>40725</v>
      </c>
      <c r="B121" s="50">
        <v>1244</v>
      </c>
      <c r="C121" s="50">
        <v>243</v>
      </c>
      <c r="D121" s="50">
        <v>1343</v>
      </c>
      <c r="E121" s="50">
        <v>495</v>
      </c>
      <c r="F121" s="4"/>
    </row>
    <row r="122" spans="1:6" x14ac:dyDescent="0.25">
      <c r="A122" s="94">
        <v>40756</v>
      </c>
      <c r="B122" s="50">
        <v>1014</v>
      </c>
      <c r="C122" s="50">
        <v>279</v>
      </c>
      <c r="D122" s="50">
        <v>2147</v>
      </c>
      <c r="E122" s="50">
        <v>1038</v>
      </c>
      <c r="F122" s="4"/>
    </row>
    <row r="123" spans="1:6" x14ac:dyDescent="0.25">
      <c r="A123" s="94">
        <v>40787</v>
      </c>
      <c r="B123" s="50">
        <v>1118</v>
      </c>
      <c r="C123" s="50">
        <v>290</v>
      </c>
      <c r="D123" s="50">
        <v>3315</v>
      </c>
      <c r="E123" s="50">
        <v>1649</v>
      </c>
      <c r="F123" s="4"/>
    </row>
    <row r="124" spans="1:6" x14ac:dyDescent="0.25">
      <c r="A124" s="94">
        <v>40817</v>
      </c>
      <c r="B124" s="50">
        <v>1985</v>
      </c>
      <c r="C124" s="50">
        <v>297</v>
      </c>
      <c r="D124" s="50">
        <v>2551</v>
      </c>
      <c r="E124" s="50">
        <v>1385</v>
      </c>
      <c r="F124" s="4"/>
    </row>
    <row r="125" spans="1:6" x14ac:dyDescent="0.25">
      <c r="A125" s="94">
        <v>40848</v>
      </c>
      <c r="B125" s="50">
        <v>1742</v>
      </c>
      <c r="C125" s="50">
        <v>414</v>
      </c>
      <c r="D125" s="50">
        <v>1862</v>
      </c>
      <c r="E125" s="50">
        <v>1099</v>
      </c>
      <c r="F125" s="4"/>
    </row>
    <row r="126" spans="1:6" x14ac:dyDescent="0.25">
      <c r="A126" s="94">
        <v>40878</v>
      </c>
      <c r="B126" s="50">
        <v>1076</v>
      </c>
      <c r="C126" s="50">
        <v>358</v>
      </c>
      <c r="D126" s="50">
        <v>2382</v>
      </c>
      <c r="E126" s="50">
        <v>1313</v>
      </c>
      <c r="F126" s="4"/>
    </row>
    <row r="127" spans="1:6" x14ac:dyDescent="0.25">
      <c r="A127" s="94">
        <v>40909</v>
      </c>
      <c r="B127" s="50">
        <v>1229</v>
      </c>
      <c r="C127" s="50">
        <v>139</v>
      </c>
      <c r="D127" s="50">
        <v>3202</v>
      </c>
      <c r="E127" s="50">
        <v>1007</v>
      </c>
      <c r="F127" s="4"/>
    </row>
    <row r="128" spans="1:6" x14ac:dyDescent="0.25">
      <c r="A128" s="94">
        <v>40940</v>
      </c>
      <c r="B128" s="50">
        <v>1026</v>
      </c>
      <c r="C128" s="50">
        <v>18</v>
      </c>
      <c r="D128" s="50">
        <v>4176</v>
      </c>
      <c r="E128" s="50">
        <v>508</v>
      </c>
      <c r="F128" s="4"/>
    </row>
    <row r="129" spans="1:6" x14ac:dyDescent="0.25">
      <c r="A129" s="94">
        <v>40969</v>
      </c>
      <c r="B129" s="50">
        <v>730</v>
      </c>
      <c r="C129" s="50">
        <v>16</v>
      </c>
      <c r="D129" s="50">
        <v>4139</v>
      </c>
      <c r="E129" s="50">
        <v>333</v>
      </c>
      <c r="F129" s="4"/>
    </row>
    <row r="130" spans="1:6" x14ac:dyDescent="0.25">
      <c r="A130" s="94">
        <v>41000</v>
      </c>
      <c r="B130" s="50">
        <v>1624</v>
      </c>
      <c r="C130" s="50">
        <v>16</v>
      </c>
      <c r="D130" s="50">
        <v>1964</v>
      </c>
      <c r="E130" s="50">
        <v>428</v>
      </c>
      <c r="F130" s="4"/>
    </row>
    <row r="131" spans="1:6" x14ac:dyDescent="0.25">
      <c r="A131" s="94">
        <v>41030</v>
      </c>
      <c r="B131" s="50">
        <v>2126</v>
      </c>
      <c r="C131" s="50">
        <v>50</v>
      </c>
      <c r="D131" s="50">
        <v>1387</v>
      </c>
      <c r="E131" s="50">
        <v>109</v>
      </c>
      <c r="F131" s="4"/>
    </row>
    <row r="132" spans="1:6" x14ac:dyDescent="0.25">
      <c r="A132" s="94">
        <v>41061</v>
      </c>
      <c r="B132" s="50">
        <v>2349</v>
      </c>
      <c r="C132" s="50">
        <v>73</v>
      </c>
      <c r="D132" s="50">
        <v>1710</v>
      </c>
      <c r="E132" s="50">
        <v>67</v>
      </c>
      <c r="F132" s="4"/>
    </row>
    <row r="133" spans="1:6" x14ac:dyDescent="0.25">
      <c r="A133" s="94">
        <v>41091</v>
      </c>
      <c r="B133" s="50">
        <v>1073</v>
      </c>
      <c r="C133" s="50">
        <v>160</v>
      </c>
      <c r="D133" s="50">
        <v>2550</v>
      </c>
      <c r="E133" s="50">
        <v>445</v>
      </c>
      <c r="F133" s="4"/>
    </row>
    <row r="134" spans="1:6" x14ac:dyDescent="0.25">
      <c r="A134" s="94">
        <v>41122</v>
      </c>
      <c r="B134" s="50">
        <v>706</v>
      </c>
      <c r="C134" s="50">
        <v>50</v>
      </c>
      <c r="D134" s="50">
        <v>3699</v>
      </c>
      <c r="E134" s="50">
        <v>422</v>
      </c>
      <c r="F134" s="4"/>
    </row>
    <row r="135" spans="1:6" x14ac:dyDescent="0.25">
      <c r="A135" s="94">
        <v>41153</v>
      </c>
      <c r="B135" s="50">
        <v>612</v>
      </c>
      <c r="C135" s="50">
        <v>411</v>
      </c>
      <c r="D135" s="50">
        <v>1434</v>
      </c>
      <c r="E135" s="50">
        <v>1230</v>
      </c>
      <c r="F135" s="4"/>
    </row>
    <row r="136" spans="1:6" x14ac:dyDescent="0.25">
      <c r="A136" s="94">
        <v>41183</v>
      </c>
      <c r="B136" s="50">
        <v>148</v>
      </c>
      <c r="C136" s="50">
        <v>240</v>
      </c>
      <c r="D136" s="50">
        <v>847</v>
      </c>
      <c r="E136" s="50">
        <v>934</v>
      </c>
      <c r="F136" s="4"/>
    </row>
    <row r="137" spans="1:6" x14ac:dyDescent="0.25">
      <c r="A137" s="94">
        <v>41214</v>
      </c>
      <c r="B137" s="50">
        <v>1481</v>
      </c>
      <c r="C137" s="50">
        <v>455</v>
      </c>
      <c r="D137" s="50">
        <v>1944</v>
      </c>
      <c r="E137" s="50">
        <v>1073</v>
      </c>
      <c r="F137" s="4"/>
    </row>
    <row r="138" spans="1:6" x14ac:dyDescent="0.25">
      <c r="A138" s="94">
        <v>41244</v>
      </c>
      <c r="B138" s="50">
        <v>138</v>
      </c>
      <c r="C138" s="50">
        <v>474</v>
      </c>
      <c r="D138" s="50">
        <v>1103</v>
      </c>
      <c r="E138" s="50">
        <v>1099</v>
      </c>
      <c r="F138" s="4"/>
    </row>
    <row r="139" spans="1:6" x14ac:dyDescent="0.25">
      <c r="A139" s="94">
        <v>41275</v>
      </c>
      <c r="B139" s="50">
        <v>34</v>
      </c>
      <c r="C139" s="50">
        <v>422</v>
      </c>
      <c r="D139" s="50">
        <v>1952</v>
      </c>
      <c r="E139" s="50">
        <v>1800</v>
      </c>
      <c r="F139" s="4"/>
    </row>
    <row r="140" spans="1:6" x14ac:dyDescent="0.25">
      <c r="A140" s="94">
        <v>41306</v>
      </c>
      <c r="B140" s="50">
        <v>1161</v>
      </c>
      <c r="C140" s="50">
        <v>188</v>
      </c>
      <c r="D140" s="50">
        <v>2155</v>
      </c>
      <c r="E140" s="50">
        <v>1344</v>
      </c>
      <c r="F140" s="4"/>
    </row>
    <row r="141" spans="1:6" x14ac:dyDescent="0.25">
      <c r="A141" s="94">
        <v>41334</v>
      </c>
      <c r="B141" s="50">
        <v>111</v>
      </c>
      <c r="C141" s="50">
        <v>481</v>
      </c>
      <c r="D141" s="50">
        <v>2433</v>
      </c>
      <c r="E141" s="50">
        <v>1726</v>
      </c>
      <c r="F141" s="4"/>
    </row>
    <row r="142" spans="1:6" x14ac:dyDescent="0.25">
      <c r="A142" s="94">
        <v>41365</v>
      </c>
      <c r="B142" s="50">
        <v>1635</v>
      </c>
      <c r="C142" s="50">
        <v>423</v>
      </c>
      <c r="D142" s="50">
        <v>2423</v>
      </c>
      <c r="E142" s="50">
        <v>1232</v>
      </c>
      <c r="F142" s="4"/>
    </row>
    <row r="143" spans="1:6" x14ac:dyDescent="0.25">
      <c r="A143" s="94">
        <v>41395</v>
      </c>
      <c r="B143" s="50">
        <v>2085</v>
      </c>
      <c r="C143" s="50">
        <v>491</v>
      </c>
      <c r="D143" s="50">
        <v>1347</v>
      </c>
      <c r="E143" s="50">
        <v>794</v>
      </c>
      <c r="F143" s="4"/>
    </row>
    <row r="144" spans="1:6" x14ac:dyDescent="0.25">
      <c r="A144" s="94">
        <v>41426</v>
      </c>
      <c r="B144" s="50">
        <v>2145</v>
      </c>
      <c r="C144" s="50">
        <v>305</v>
      </c>
      <c r="D144" s="50">
        <v>545</v>
      </c>
      <c r="E144" s="50">
        <v>189</v>
      </c>
      <c r="F144" s="4"/>
    </row>
    <row r="145" spans="1:6" x14ac:dyDescent="0.25">
      <c r="A145" s="94">
        <v>41456</v>
      </c>
      <c r="B145" s="50">
        <v>2397</v>
      </c>
      <c r="C145" s="50">
        <v>212</v>
      </c>
      <c r="D145" s="50">
        <v>1032</v>
      </c>
      <c r="E145" s="50">
        <v>632</v>
      </c>
      <c r="F145" s="4"/>
    </row>
    <row r="146" spans="1:6" x14ac:dyDescent="0.25">
      <c r="A146" s="94">
        <v>41487</v>
      </c>
      <c r="B146" s="50">
        <v>1398</v>
      </c>
      <c r="C146" s="50">
        <v>184</v>
      </c>
      <c r="D146" s="50">
        <v>1432</v>
      </c>
      <c r="E146" s="50">
        <v>378</v>
      </c>
      <c r="F146" s="4"/>
    </row>
    <row r="147" spans="1:6" x14ac:dyDescent="0.25">
      <c r="A147" s="94">
        <v>41518</v>
      </c>
      <c r="B147" s="50">
        <v>1566</v>
      </c>
      <c r="C147" s="50">
        <v>255</v>
      </c>
      <c r="D147" s="50">
        <v>1347</v>
      </c>
      <c r="E147" s="50">
        <v>639</v>
      </c>
      <c r="F147" s="4"/>
    </row>
    <row r="148" spans="1:6" x14ac:dyDescent="0.25">
      <c r="A148" s="94">
        <v>41548</v>
      </c>
      <c r="B148" s="50">
        <v>1626</v>
      </c>
      <c r="C148" s="50">
        <v>429</v>
      </c>
      <c r="D148" s="50">
        <v>1374</v>
      </c>
      <c r="E148" s="50">
        <v>803</v>
      </c>
      <c r="F148" s="4"/>
    </row>
    <row r="149" spans="1:6" x14ac:dyDescent="0.25">
      <c r="A149" s="94">
        <v>41579</v>
      </c>
      <c r="B149" s="50">
        <v>2442</v>
      </c>
      <c r="C149" s="50">
        <v>405</v>
      </c>
      <c r="D149" s="50">
        <v>1701</v>
      </c>
      <c r="E149" s="50">
        <v>493</v>
      </c>
      <c r="F149" s="4"/>
    </row>
    <row r="150" spans="1:6" x14ac:dyDescent="0.25">
      <c r="A150" s="94">
        <v>41609</v>
      </c>
      <c r="B150" s="50">
        <v>1863</v>
      </c>
      <c r="C150" s="50">
        <v>355</v>
      </c>
      <c r="D150" s="50">
        <v>2329</v>
      </c>
      <c r="E150" s="50">
        <v>867</v>
      </c>
      <c r="F150" s="4"/>
    </row>
    <row r="151" spans="1:6" x14ac:dyDescent="0.25">
      <c r="A151" s="94">
        <v>41640</v>
      </c>
      <c r="B151" s="50">
        <v>2439</v>
      </c>
      <c r="C151" s="50">
        <v>314</v>
      </c>
      <c r="D151" s="50">
        <v>2789</v>
      </c>
      <c r="E151" s="50">
        <v>698</v>
      </c>
      <c r="F151" s="4"/>
    </row>
    <row r="152" spans="1:6" x14ac:dyDescent="0.25">
      <c r="A152" s="94">
        <v>41671</v>
      </c>
      <c r="B152" s="50">
        <v>1400</v>
      </c>
      <c r="C152" s="50">
        <v>357</v>
      </c>
      <c r="D152" s="50">
        <v>3800</v>
      </c>
      <c r="E152" s="50">
        <v>1477</v>
      </c>
      <c r="F152" s="4"/>
    </row>
    <row r="153" spans="1:6" x14ac:dyDescent="0.25">
      <c r="A153" s="94">
        <v>41699</v>
      </c>
      <c r="B153" s="50">
        <v>2249</v>
      </c>
      <c r="C153" s="50">
        <v>396</v>
      </c>
      <c r="D153" s="50">
        <v>4038</v>
      </c>
      <c r="E153" s="50">
        <v>1658</v>
      </c>
      <c r="F153" s="4"/>
    </row>
    <row r="154" spans="1:6" x14ac:dyDescent="0.25">
      <c r="A154" s="94">
        <v>41730</v>
      </c>
      <c r="B154" s="50">
        <v>1543</v>
      </c>
      <c r="C154" s="50">
        <v>320</v>
      </c>
      <c r="D154" s="50">
        <v>3532</v>
      </c>
      <c r="E154" s="50">
        <v>1420</v>
      </c>
      <c r="F154" s="4"/>
    </row>
    <row r="155" spans="1:6" x14ac:dyDescent="0.25">
      <c r="A155" s="94">
        <v>41760</v>
      </c>
      <c r="B155" s="50">
        <v>1506</v>
      </c>
      <c r="C155" s="50">
        <v>389</v>
      </c>
      <c r="D155" s="50">
        <f>2651</f>
        <v>2651</v>
      </c>
      <c r="E155" s="50">
        <v>1241</v>
      </c>
      <c r="F155" s="4"/>
    </row>
    <row r="156" spans="1:6" x14ac:dyDescent="0.25">
      <c r="A156" s="94">
        <v>41791</v>
      </c>
      <c r="B156" s="50">
        <v>821</v>
      </c>
      <c r="C156" s="50">
        <v>302</v>
      </c>
      <c r="D156" s="50">
        <v>1854</v>
      </c>
      <c r="E156" s="50">
        <v>748</v>
      </c>
      <c r="F156" s="4"/>
    </row>
    <row r="157" spans="1:6" x14ac:dyDescent="0.25">
      <c r="A157" s="94">
        <v>41821</v>
      </c>
      <c r="B157" s="50">
        <v>739</v>
      </c>
      <c r="C157" s="50">
        <v>197</v>
      </c>
      <c r="D157" s="50">
        <v>2042</v>
      </c>
      <c r="E157" s="50">
        <v>398</v>
      </c>
      <c r="F157" s="4"/>
    </row>
    <row r="158" spans="1:6" x14ac:dyDescent="0.25">
      <c r="A158" s="94">
        <v>41852</v>
      </c>
      <c r="B158" s="50">
        <v>362</v>
      </c>
      <c r="C158" s="50">
        <v>205</v>
      </c>
      <c r="D158" s="50">
        <v>2031</v>
      </c>
      <c r="E158" s="50">
        <v>660</v>
      </c>
      <c r="F158" s="4"/>
    </row>
    <row r="159" spans="1:6" x14ac:dyDescent="0.25">
      <c r="A159" s="94">
        <v>41883</v>
      </c>
      <c r="B159" s="50">
        <v>1323</v>
      </c>
      <c r="C159" s="50">
        <v>188</v>
      </c>
      <c r="D159" s="50">
        <v>2143</v>
      </c>
      <c r="E159" s="50">
        <v>926</v>
      </c>
      <c r="F159" s="4"/>
    </row>
    <row r="160" spans="1:6" x14ac:dyDescent="0.25">
      <c r="A160" s="94">
        <v>41913</v>
      </c>
      <c r="B160" s="50">
        <v>1515</v>
      </c>
      <c r="C160" s="50">
        <v>135</v>
      </c>
      <c r="D160" s="50">
        <v>1860</v>
      </c>
      <c r="E160" s="50">
        <v>870</v>
      </c>
      <c r="F160" s="4"/>
    </row>
    <row r="161" spans="1:6" x14ac:dyDescent="0.25">
      <c r="A161" s="94">
        <v>41944</v>
      </c>
      <c r="B161" s="50">
        <v>650</v>
      </c>
      <c r="C161" s="50">
        <v>52</v>
      </c>
      <c r="D161" s="50">
        <v>1653</v>
      </c>
      <c r="E161" s="50">
        <v>1292</v>
      </c>
      <c r="F161" s="4"/>
    </row>
    <row r="162" spans="1:6" x14ac:dyDescent="0.25">
      <c r="A162" s="94">
        <v>41974</v>
      </c>
      <c r="B162" s="50">
        <v>472</v>
      </c>
      <c r="C162" s="50">
        <v>17</v>
      </c>
      <c r="D162" s="50">
        <v>2094</v>
      </c>
      <c r="E162" s="50">
        <v>880</v>
      </c>
      <c r="F162" s="4"/>
    </row>
    <row r="163" spans="1:6" x14ac:dyDescent="0.25">
      <c r="A163" s="94">
        <v>42005</v>
      </c>
      <c r="B163" s="50">
        <f>766</f>
        <v>766</v>
      </c>
      <c r="C163" s="50">
        <f>17</f>
        <v>17</v>
      </c>
      <c r="D163" s="50">
        <f>1757</f>
        <v>1757</v>
      </c>
      <c r="E163" s="50">
        <f>330</f>
        <v>330</v>
      </c>
      <c r="F163" s="4"/>
    </row>
    <row r="164" spans="1:6" x14ac:dyDescent="0.25">
      <c r="A164" s="94">
        <v>42036</v>
      </c>
      <c r="B164" s="50">
        <v>439</v>
      </c>
      <c r="C164" s="50">
        <v>19</v>
      </c>
      <c r="D164" s="50">
        <v>1159</v>
      </c>
      <c r="E164" s="50">
        <v>637</v>
      </c>
      <c r="F164" s="4"/>
    </row>
    <row r="165" spans="1:6" x14ac:dyDescent="0.25">
      <c r="A165" s="94">
        <v>42064</v>
      </c>
      <c r="B165" s="50">
        <v>439</v>
      </c>
      <c r="C165" s="50">
        <v>63</v>
      </c>
      <c r="D165" s="50">
        <v>671</v>
      </c>
      <c r="E165" s="50">
        <v>678</v>
      </c>
      <c r="F165" s="4"/>
    </row>
    <row r="166" spans="1:6" x14ac:dyDescent="0.25">
      <c r="A166" s="94">
        <v>42095</v>
      </c>
      <c r="B166" s="50">
        <v>480.5</v>
      </c>
      <c r="C166" s="50">
        <v>76</v>
      </c>
      <c r="D166" s="50">
        <v>613</v>
      </c>
      <c r="E166" s="50">
        <v>656</v>
      </c>
      <c r="F166" s="4"/>
    </row>
    <row r="167" spans="1:6" x14ac:dyDescent="0.25">
      <c r="A167" s="94">
        <v>42125</v>
      </c>
      <c r="B167" s="50">
        <v>645.5</v>
      </c>
      <c r="C167" s="50">
        <v>86</v>
      </c>
      <c r="D167" s="50">
        <v>1025</v>
      </c>
      <c r="E167" s="50">
        <v>363.79999999999995</v>
      </c>
      <c r="F167" s="4"/>
    </row>
    <row r="168" spans="1:6" x14ac:dyDescent="0.25">
      <c r="A168" s="94">
        <v>42156</v>
      </c>
      <c r="B168" s="50">
        <v>905</v>
      </c>
      <c r="C168" s="50">
        <v>58</v>
      </c>
      <c r="D168" s="50">
        <v>1670</v>
      </c>
      <c r="E168" s="50">
        <v>390</v>
      </c>
      <c r="F168" s="4"/>
    </row>
    <row r="169" spans="1:6" x14ac:dyDescent="0.25">
      <c r="A169" s="94">
        <v>42186</v>
      </c>
      <c r="B169" s="50">
        <v>694</v>
      </c>
      <c r="C169" s="50">
        <v>163</v>
      </c>
      <c r="D169" s="50">
        <v>1075</v>
      </c>
      <c r="E169" s="50">
        <v>716</v>
      </c>
      <c r="F169" s="4"/>
    </row>
    <row r="170" spans="1:6" x14ac:dyDescent="0.25">
      <c r="A170" s="94">
        <v>42217</v>
      </c>
      <c r="B170" s="50">
        <v>626</v>
      </c>
      <c r="C170" s="50">
        <v>197</v>
      </c>
      <c r="D170" s="50">
        <v>1406</v>
      </c>
      <c r="E170" s="50">
        <v>846</v>
      </c>
      <c r="F170" s="4"/>
    </row>
    <row r="171" spans="1:6" x14ac:dyDescent="0.25">
      <c r="A171" s="94">
        <v>42248</v>
      </c>
      <c r="B171" s="50">
        <v>1265</v>
      </c>
      <c r="C171" s="50">
        <v>117</v>
      </c>
      <c r="D171" s="50">
        <v>1758</v>
      </c>
      <c r="E171" s="50">
        <v>583</v>
      </c>
      <c r="F171" s="4"/>
    </row>
    <row r="172" spans="1:6" x14ac:dyDescent="0.25">
      <c r="A172" s="94">
        <v>42278</v>
      </c>
      <c r="B172" s="50">
        <v>1681</v>
      </c>
      <c r="C172" s="50">
        <v>120</v>
      </c>
      <c r="D172" s="50">
        <v>1590</v>
      </c>
      <c r="E172" s="50">
        <v>573</v>
      </c>
      <c r="F172" s="4"/>
    </row>
    <row r="173" spans="1:6" x14ac:dyDescent="0.25">
      <c r="A173" s="94">
        <v>42309</v>
      </c>
      <c r="B173" s="50">
        <v>827</v>
      </c>
      <c r="C173" s="50">
        <v>128</v>
      </c>
      <c r="D173" s="50">
        <v>1339</v>
      </c>
      <c r="E173" s="50">
        <v>449</v>
      </c>
      <c r="F173" s="4"/>
    </row>
    <row r="174" spans="1:6" x14ac:dyDescent="0.25">
      <c r="A174" s="94">
        <v>42339</v>
      </c>
      <c r="B174" s="50">
        <v>1739</v>
      </c>
      <c r="C174" s="50">
        <v>94</v>
      </c>
      <c r="D174" s="50">
        <v>741</v>
      </c>
      <c r="E174" s="50">
        <v>586</v>
      </c>
      <c r="F174" s="4"/>
    </row>
    <row r="175" spans="1:6" x14ac:dyDescent="0.25">
      <c r="A175" s="94">
        <v>42370</v>
      </c>
      <c r="B175" s="50">
        <v>628</v>
      </c>
      <c r="C175" s="50">
        <v>64</v>
      </c>
      <c r="D175" s="50">
        <v>1301</v>
      </c>
      <c r="E175" s="50">
        <v>397</v>
      </c>
      <c r="F175" s="4"/>
    </row>
    <row r="176" spans="1:6" x14ac:dyDescent="0.25">
      <c r="A176" s="94">
        <v>42401</v>
      </c>
      <c r="B176" s="50">
        <v>622</v>
      </c>
      <c r="C176" s="50">
        <v>16</v>
      </c>
      <c r="D176" s="50">
        <v>924</v>
      </c>
      <c r="E176" s="50">
        <v>207</v>
      </c>
      <c r="F176" s="4"/>
    </row>
    <row r="177" spans="1:6" x14ac:dyDescent="0.25">
      <c r="A177" s="94">
        <v>42430</v>
      </c>
      <c r="B177" s="50">
        <v>1117</v>
      </c>
      <c r="C177" s="50">
        <v>49</v>
      </c>
      <c r="D177" s="50">
        <v>1161</v>
      </c>
      <c r="E177" s="50">
        <v>394</v>
      </c>
      <c r="F177" s="4"/>
    </row>
    <row r="178" spans="1:6" x14ac:dyDescent="0.25">
      <c r="A178" s="94">
        <v>42461</v>
      </c>
      <c r="B178" s="50">
        <v>427</v>
      </c>
      <c r="C178" s="50">
        <v>34</v>
      </c>
      <c r="D178" s="50">
        <v>839</v>
      </c>
      <c r="E178" s="50">
        <v>91</v>
      </c>
      <c r="F178" s="4"/>
    </row>
    <row r="179" spans="1:6" x14ac:dyDescent="0.25">
      <c r="A179" s="94">
        <v>42491</v>
      </c>
      <c r="B179" s="50">
        <v>452</v>
      </c>
      <c r="C179" s="50">
        <v>72</v>
      </c>
      <c r="D179" s="50">
        <v>645</v>
      </c>
      <c r="E179" s="50">
        <v>219</v>
      </c>
      <c r="F179" s="4"/>
    </row>
    <row r="180" spans="1:6" x14ac:dyDescent="0.25">
      <c r="A180" s="94">
        <v>42522</v>
      </c>
      <c r="B180" s="50">
        <v>111</v>
      </c>
      <c r="C180" s="50">
        <v>33</v>
      </c>
      <c r="D180" s="50">
        <v>605</v>
      </c>
      <c r="E180" s="50">
        <v>292</v>
      </c>
      <c r="F180" s="4"/>
    </row>
    <row r="181" spans="1:6" x14ac:dyDescent="0.25">
      <c r="A181" s="94">
        <v>42552</v>
      </c>
      <c r="B181" s="50">
        <v>247</v>
      </c>
      <c r="C181" s="50">
        <v>21</v>
      </c>
      <c r="D181" s="50">
        <v>620</v>
      </c>
      <c r="E181" s="50">
        <v>62</v>
      </c>
      <c r="F181" s="4"/>
    </row>
    <row r="182" spans="1:6" x14ac:dyDescent="0.25">
      <c r="A182" s="94">
        <v>42583</v>
      </c>
      <c r="B182" s="50">
        <v>633</v>
      </c>
      <c r="C182" s="50">
        <v>20</v>
      </c>
      <c r="D182" s="50">
        <v>619</v>
      </c>
      <c r="E182" s="50">
        <v>214</v>
      </c>
      <c r="F182" s="4"/>
    </row>
    <row r="183" spans="1:6" x14ac:dyDescent="0.25">
      <c r="A183" s="94">
        <v>42614</v>
      </c>
      <c r="B183" s="50">
        <v>1360</v>
      </c>
      <c r="C183" s="50">
        <v>17</v>
      </c>
      <c r="D183" s="50">
        <v>1110</v>
      </c>
      <c r="E183" s="50">
        <v>292</v>
      </c>
      <c r="F183" s="4"/>
    </row>
    <row r="184" spans="1:6" x14ac:dyDescent="0.25">
      <c r="A184" s="94">
        <v>42644</v>
      </c>
      <c r="B184" s="50">
        <v>1038</v>
      </c>
      <c r="C184" s="50">
        <v>29</v>
      </c>
      <c r="D184" s="50">
        <v>1665</v>
      </c>
      <c r="E184" s="50">
        <v>297</v>
      </c>
      <c r="F184" s="4"/>
    </row>
    <row r="185" spans="1:6" x14ac:dyDescent="0.25">
      <c r="A185" s="94">
        <v>42675</v>
      </c>
      <c r="B185" s="50">
        <v>759</v>
      </c>
      <c r="C185" s="50">
        <v>103</v>
      </c>
      <c r="D185" s="50">
        <v>1781</v>
      </c>
      <c r="E185" s="50">
        <v>334</v>
      </c>
      <c r="F185" s="4"/>
    </row>
    <row r="186" spans="1:6" x14ac:dyDescent="0.25">
      <c r="A186" s="94">
        <v>42705</v>
      </c>
      <c r="B186" s="50">
        <v>658</v>
      </c>
      <c r="C186" s="50">
        <v>98</v>
      </c>
      <c r="D186" s="50">
        <v>1855</v>
      </c>
      <c r="E186" s="50">
        <v>258</v>
      </c>
      <c r="F186" s="4"/>
    </row>
    <row r="187" spans="1:6" x14ac:dyDescent="0.25">
      <c r="A187" s="94">
        <v>42736</v>
      </c>
      <c r="B187" s="50">
        <v>764</v>
      </c>
      <c r="C187" s="50">
        <v>394</v>
      </c>
      <c r="D187" s="50">
        <v>1670</v>
      </c>
      <c r="E187" s="50">
        <v>144</v>
      </c>
      <c r="F187" s="4"/>
    </row>
    <row r="188" spans="1:6" x14ac:dyDescent="0.25">
      <c r="A188" s="94">
        <v>42767</v>
      </c>
      <c r="B188" s="50">
        <v>699</v>
      </c>
      <c r="C188" s="50">
        <v>376</v>
      </c>
      <c r="D188" s="50">
        <v>1065</v>
      </c>
      <c r="E188" s="50">
        <v>114</v>
      </c>
      <c r="F188" s="4"/>
    </row>
    <row r="189" spans="1:6" x14ac:dyDescent="0.25">
      <c r="A189" s="94">
        <v>42795</v>
      </c>
      <c r="B189" s="50">
        <v>687</v>
      </c>
      <c r="C189" s="50">
        <v>341</v>
      </c>
      <c r="D189" s="50">
        <v>1497</v>
      </c>
      <c r="E189" s="50">
        <v>153</v>
      </c>
      <c r="F189" s="4"/>
    </row>
    <row r="190" spans="1:6" x14ac:dyDescent="0.25">
      <c r="A190" s="94">
        <v>42826</v>
      </c>
      <c r="B190" s="50">
        <v>404</v>
      </c>
      <c r="C190" s="50">
        <v>301</v>
      </c>
      <c r="D190" s="50">
        <v>1138</v>
      </c>
      <c r="E190" s="50">
        <v>271</v>
      </c>
      <c r="F190" s="4"/>
    </row>
    <row r="191" spans="1:6" x14ac:dyDescent="0.25">
      <c r="A191" s="94">
        <v>42856</v>
      </c>
      <c r="B191" s="50">
        <v>615</v>
      </c>
      <c r="C191" s="50">
        <v>281</v>
      </c>
      <c r="D191" s="50">
        <v>949</v>
      </c>
      <c r="E191" s="50">
        <v>390</v>
      </c>
      <c r="F191" s="4"/>
    </row>
    <row r="192" spans="1:6" x14ac:dyDescent="0.25">
      <c r="A192" s="94">
        <v>42887</v>
      </c>
      <c r="B192" s="50">
        <v>227</v>
      </c>
      <c r="C192" s="50">
        <v>255</v>
      </c>
      <c r="D192" s="50">
        <v>778</v>
      </c>
      <c r="E192" s="50">
        <v>167</v>
      </c>
      <c r="F192" s="4"/>
    </row>
    <row r="193" spans="1:6" x14ac:dyDescent="0.25">
      <c r="A193" s="94">
        <v>42917</v>
      </c>
      <c r="B193" s="50">
        <v>1247</v>
      </c>
      <c r="C193" s="50">
        <v>207</v>
      </c>
      <c r="D193" s="50">
        <v>1375</v>
      </c>
      <c r="E193" s="50">
        <v>399</v>
      </c>
      <c r="F193" s="4"/>
    </row>
    <row r="194" spans="1:6" x14ac:dyDescent="0.25">
      <c r="A194" s="94">
        <v>42948</v>
      </c>
      <c r="B194" s="43">
        <v>697</v>
      </c>
      <c r="C194" s="43">
        <v>165</v>
      </c>
      <c r="D194" s="43">
        <v>1801</v>
      </c>
      <c r="E194" s="43">
        <v>792</v>
      </c>
    </row>
    <row r="195" spans="1:6" x14ac:dyDescent="0.25">
      <c r="A195" s="94">
        <v>42979</v>
      </c>
      <c r="B195" s="43">
        <v>351</v>
      </c>
      <c r="C195" s="43">
        <v>131</v>
      </c>
      <c r="D195" s="43">
        <v>1573</v>
      </c>
      <c r="E195" s="43">
        <v>958</v>
      </c>
    </row>
    <row r="196" spans="1:6" x14ac:dyDescent="0.25">
      <c r="A196" s="94">
        <v>43009</v>
      </c>
      <c r="B196" s="43">
        <v>559</v>
      </c>
      <c r="C196" s="43">
        <v>102</v>
      </c>
      <c r="D196" s="43">
        <v>2168</v>
      </c>
      <c r="E196" s="43">
        <v>380</v>
      </c>
    </row>
    <row r="197" spans="1:6" x14ac:dyDescent="0.25">
      <c r="A197" s="94">
        <v>43040</v>
      </c>
      <c r="B197" s="43">
        <v>1652</v>
      </c>
      <c r="C197" s="43">
        <v>196</v>
      </c>
      <c r="D197" s="43">
        <v>2958</v>
      </c>
      <c r="E197" s="43">
        <v>547</v>
      </c>
    </row>
    <row r="198" spans="1:6" x14ac:dyDescent="0.25">
      <c r="A198" s="94">
        <v>43070</v>
      </c>
      <c r="B198" s="43">
        <v>578</v>
      </c>
      <c r="C198" s="43">
        <v>180</v>
      </c>
      <c r="D198" s="43">
        <v>2689</v>
      </c>
      <c r="E198" s="43">
        <v>1126</v>
      </c>
    </row>
    <row r="199" spans="1:6" x14ac:dyDescent="0.25">
      <c r="A199" s="94">
        <v>43101</v>
      </c>
      <c r="B199" s="43">
        <v>1091</v>
      </c>
      <c r="C199" s="43">
        <v>122</v>
      </c>
      <c r="D199" s="43">
        <v>2595</v>
      </c>
      <c r="E199" s="43">
        <v>1543</v>
      </c>
    </row>
    <row r="200" spans="1:6" x14ac:dyDescent="0.25">
      <c r="A200" s="94">
        <v>43132</v>
      </c>
      <c r="B200" s="43">
        <v>584</v>
      </c>
      <c r="C200" s="43">
        <v>95</v>
      </c>
      <c r="D200" s="43">
        <v>2494</v>
      </c>
      <c r="E200" s="43">
        <v>1730</v>
      </c>
    </row>
    <row r="201" spans="1:6" x14ac:dyDescent="0.25">
      <c r="A201" s="94">
        <v>43160</v>
      </c>
      <c r="B201" s="43">
        <v>815</v>
      </c>
      <c r="C201" s="43">
        <v>188</v>
      </c>
      <c r="D201" s="43">
        <v>3223</v>
      </c>
      <c r="E201" s="43">
        <v>1476</v>
      </c>
    </row>
    <row r="202" spans="1:6" x14ac:dyDescent="0.25">
      <c r="A202" s="94">
        <v>43191</v>
      </c>
      <c r="B202" s="49">
        <v>2092</v>
      </c>
      <c r="C202" s="49">
        <v>156</v>
      </c>
      <c r="D202" s="49">
        <v>3278</v>
      </c>
      <c r="E202" s="49">
        <v>1422</v>
      </c>
    </row>
    <row r="203" spans="1:6" x14ac:dyDescent="0.25">
      <c r="A203" s="94">
        <v>43221</v>
      </c>
      <c r="B203" s="81">
        <v>2103</v>
      </c>
      <c r="C203" s="81">
        <v>136</v>
      </c>
      <c r="D203" s="81">
        <v>3838</v>
      </c>
      <c r="E203" s="81">
        <v>1172</v>
      </c>
    </row>
    <row r="204" spans="1:6" x14ac:dyDescent="0.25">
      <c r="A204" s="94">
        <v>43252</v>
      </c>
      <c r="B204" s="81">
        <v>1729</v>
      </c>
      <c r="C204" s="81">
        <v>113</v>
      </c>
      <c r="D204" s="81">
        <v>3082</v>
      </c>
      <c r="E204" s="81">
        <v>907</v>
      </c>
    </row>
    <row r="205" spans="1:6" x14ac:dyDescent="0.25">
      <c r="A205" s="94">
        <v>43282</v>
      </c>
      <c r="B205" s="81">
        <v>1373</v>
      </c>
      <c r="C205" s="81">
        <v>89</v>
      </c>
      <c r="D205" s="81">
        <v>3402</v>
      </c>
      <c r="E205" s="81">
        <v>492</v>
      </c>
    </row>
    <row r="206" spans="1:6" x14ac:dyDescent="0.25">
      <c r="A206" s="94">
        <v>43313</v>
      </c>
      <c r="B206" s="81">
        <v>900</v>
      </c>
      <c r="C206" s="81">
        <v>62</v>
      </c>
      <c r="D206" s="81">
        <v>3166</v>
      </c>
      <c r="E206" s="81">
        <v>415</v>
      </c>
    </row>
    <row r="207" spans="1:6" x14ac:dyDescent="0.25">
      <c r="A207" s="94">
        <v>43344</v>
      </c>
      <c r="B207" s="81">
        <v>1444</v>
      </c>
      <c r="C207" s="81">
        <v>110</v>
      </c>
      <c r="D207" s="81">
        <v>2324</v>
      </c>
      <c r="E207" s="81">
        <v>655</v>
      </c>
    </row>
    <row r="208" spans="1:6" x14ac:dyDescent="0.25">
      <c r="A208" s="94">
        <v>43374</v>
      </c>
      <c r="B208" s="81">
        <v>1596</v>
      </c>
      <c r="C208" s="81">
        <v>85</v>
      </c>
      <c r="D208" s="81">
        <v>2039</v>
      </c>
      <c r="E208" s="81">
        <v>705</v>
      </c>
    </row>
    <row r="209" spans="1:5" x14ac:dyDescent="0.25">
      <c r="A209" s="94">
        <v>43405</v>
      </c>
      <c r="B209" s="81">
        <v>1658</v>
      </c>
      <c r="C209" s="81">
        <v>93</v>
      </c>
      <c r="D209" s="81">
        <v>1495</v>
      </c>
      <c r="E209" s="81">
        <v>308</v>
      </c>
    </row>
    <row r="210" spans="1:5" x14ac:dyDescent="0.25">
      <c r="A210" s="94">
        <v>43435</v>
      </c>
      <c r="B210" s="81">
        <v>927</v>
      </c>
      <c r="C210" s="81">
        <v>87</v>
      </c>
      <c r="D210" s="81">
        <v>1067</v>
      </c>
      <c r="E210" s="81">
        <v>809</v>
      </c>
    </row>
    <row r="211" spans="1:5" x14ac:dyDescent="0.25">
      <c r="A211" s="94">
        <v>43466</v>
      </c>
      <c r="B211" s="81">
        <v>564</v>
      </c>
      <c r="C211" s="81">
        <v>80</v>
      </c>
      <c r="D211" s="81">
        <v>1248</v>
      </c>
      <c r="E211" s="81">
        <v>589</v>
      </c>
    </row>
    <row r="212" spans="1:5" x14ac:dyDescent="0.25">
      <c r="A212" s="94">
        <v>43497</v>
      </c>
      <c r="B212" s="81">
        <v>1041</v>
      </c>
      <c r="C212" s="81">
        <v>67</v>
      </c>
      <c r="D212" s="81">
        <v>1306</v>
      </c>
      <c r="E212" s="81">
        <v>724</v>
      </c>
    </row>
    <row r="213" spans="1:5" x14ac:dyDescent="0.25">
      <c r="A213" s="94">
        <v>43525</v>
      </c>
      <c r="B213" s="81">
        <v>1336</v>
      </c>
      <c r="C213" s="81">
        <v>53</v>
      </c>
      <c r="D213" s="81">
        <v>1528</v>
      </c>
      <c r="E213" s="81">
        <v>470</v>
      </c>
    </row>
    <row r="214" spans="1:5" x14ac:dyDescent="0.25">
      <c r="A214" s="94">
        <v>43556</v>
      </c>
      <c r="B214" s="81">
        <v>1212</v>
      </c>
      <c r="C214" s="81">
        <v>68</v>
      </c>
      <c r="D214" s="81">
        <v>1262</v>
      </c>
      <c r="E214" s="81">
        <v>662</v>
      </c>
    </row>
    <row r="215" spans="1:5" x14ac:dyDescent="0.25">
      <c r="A215" s="94">
        <v>43586</v>
      </c>
      <c r="B215" s="81">
        <v>619</v>
      </c>
      <c r="C215" s="81">
        <v>63</v>
      </c>
      <c r="D215" s="81">
        <v>1445</v>
      </c>
      <c r="E215" s="81">
        <v>243</v>
      </c>
    </row>
    <row r="216" spans="1:5" x14ac:dyDescent="0.25">
      <c r="A216" s="94">
        <v>43617</v>
      </c>
      <c r="B216" s="81">
        <v>719</v>
      </c>
      <c r="C216" s="81">
        <v>47</v>
      </c>
      <c r="D216" s="81">
        <v>1538</v>
      </c>
      <c r="E216" s="81">
        <v>317</v>
      </c>
    </row>
    <row r="217" spans="1:5" x14ac:dyDescent="0.25">
      <c r="A217" s="94">
        <v>43647</v>
      </c>
      <c r="B217" s="81">
        <v>1027</v>
      </c>
      <c r="C217" s="81">
        <v>54</v>
      </c>
      <c r="D217" s="81">
        <v>1512</v>
      </c>
      <c r="E217" s="81">
        <v>263</v>
      </c>
    </row>
    <row r="218" spans="1:5" x14ac:dyDescent="0.25">
      <c r="A218" s="94">
        <v>43678</v>
      </c>
      <c r="B218" s="81">
        <v>1405</v>
      </c>
      <c r="C218" s="81">
        <v>29</v>
      </c>
      <c r="D218" s="81">
        <v>1443</v>
      </c>
      <c r="E218" s="81">
        <v>434</v>
      </c>
    </row>
    <row r="219" spans="1:5" x14ac:dyDescent="0.25">
      <c r="A219" s="94">
        <v>43709</v>
      </c>
      <c r="B219" s="81">
        <v>2065</v>
      </c>
      <c r="C219" s="81">
        <v>16</v>
      </c>
      <c r="D219" s="81">
        <v>1567</v>
      </c>
      <c r="E219" s="81">
        <v>130</v>
      </c>
    </row>
    <row r="220" spans="1:5" x14ac:dyDescent="0.25">
      <c r="A220" s="94">
        <v>43739</v>
      </c>
      <c r="B220" s="81">
        <v>2136</v>
      </c>
      <c r="C220" s="81">
        <v>79</v>
      </c>
      <c r="D220" s="81">
        <v>2551</v>
      </c>
      <c r="E220" s="81">
        <v>580</v>
      </c>
    </row>
    <row r="221" spans="1:5" x14ac:dyDescent="0.25">
      <c r="A221" s="94">
        <v>43770</v>
      </c>
      <c r="B221" s="81">
        <v>2571</v>
      </c>
      <c r="C221" s="81">
        <v>97</v>
      </c>
      <c r="D221" s="81">
        <v>2736</v>
      </c>
      <c r="E221" s="81">
        <v>842</v>
      </c>
    </row>
    <row r="222" spans="1:5" x14ac:dyDescent="0.25">
      <c r="A222" s="94">
        <v>43800</v>
      </c>
      <c r="B222" s="81">
        <v>2083</v>
      </c>
      <c r="C222" s="81">
        <v>85</v>
      </c>
      <c r="D222" s="81">
        <v>1946</v>
      </c>
      <c r="E222" s="81">
        <v>814</v>
      </c>
    </row>
    <row r="223" spans="1:5" x14ac:dyDescent="0.25">
      <c r="A223" s="94">
        <v>43831</v>
      </c>
      <c r="B223" s="81">
        <v>1452</v>
      </c>
      <c r="C223" s="81">
        <v>70</v>
      </c>
      <c r="D223" s="81">
        <v>2759</v>
      </c>
      <c r="E223" s="81">
        <v>563</v>
      </c>
    </row>
    <row r="224" spans="1:5" x14ac:dyDescent="0.25">
      <c r="A224" s="94">
        <v>43862</v>
      </c>
      <c r="B224" s="81">
        <v>1940</v>
      </c>
      <c r="C224" s="81">
        <v>53</v>
      </c>
      <c r="D224" s="81">
        <v>3210</v>
      </c>
      <c r="E224" s="81">
        <v>649</v>
      </c>
    </row>
    <row r="225" spans="1:5" x14ac:dyDescent="0.25">
      <c r="A225" s="94">
        <v>43891</v>
      </c>
      <c r="B225" s="81">
        <v>1079</v>
      </c>
      <c r="C225" s="81">
        <v>41</v>
      </c>
      <c r="D225" s="81">
        <v>3279</v>
      </c>
      <c r="E225" s="81">
        <v>891</v>
      </c>
    </row>
    <row r="226" spans="1:5" x14ac:dyDescent="0.25">
      <c r="A226" s="94">
        <v>43922</v>
      </c>
      <c r="B226" s="81">
        <v>2153</v>
      </c>
      <c r="C226" s="81">
        <v>30</v>
      </c>
      <c r="D226" s="81">
        <v>2844</v>
      </c>
      <c r="E226" s="81">
        <v>850</v>
      </c>
    </row>
    <row r="227" spans="1:5" x14ac:dyDescent="0.25">
      <c r="A227" s="94">
        <v>43952</v>
      </c>
      <c r="B227" s="81">
        <v>2166</v>
      </c>
      <c r="C227" s="81">
        <v>25</v>
      </c>
      <c r="D227" s="81">
        <v>3008</v>
      </c>
      <c r="E227" s="81">
        <v>816</v>
      </c>
    </row>
    <row r="228" spans="1:5" x14ac:dyDescent="0.25">
      <c r="A228" s="94">
        <v>43983</v>
      </c>
      <c r="B228" s="81">
        <v>1111</v>
      </c>
      <c r="C228" s="81">
        <v>16</v>
      </c>
      <c r="D228" s="81">
        <v>4904</v>
      </c>
      <c r="E228" s="81">
        <v>799</v>
      </c>
    </row>
    <row r="229" spans="1:5" x14ac:dyDescent="0.25">
      <c r="A229" s="94">
        <v>44013</v>
      </c>
      <c r="B229" s="81">
        <v>2602</v>
      </c>
      <c r="C229" s="81">
        <v>16</v>
      </c>
      <c r="D229" s="81">
        <v>4750</v>
      </c>
      <c r="E229" s="81">
        <v>772</v>
      </c>
    </row>
    <row r="230" spans="1:5" x14ac:dyDescent="0.25">
      <c r="A230" s="94">
        <v>44044</v>
      </c>
      <c r="B230" s="81">
        <v>2099</v>
      </c>
      <c r="C230" s="81">
        <v>16</v>
      </c>
      <c r="D230" s="81">
        <v>3960</v>
      </c>
      <c r="E230" s="81">
        <v>595</v>
      </c>
    </row>
    <row r="231" spans="1:5" x14ac:dyDescent="0.25">
      <c r="A231" s="94">
        <v>44075</v>
      </c>
      <c r="B231" s="81">
        <v>2470</v>
      </c>
      <c r="C231" s="81">
        <v>34</v>
      </c>
      <c r="D231" s="81">
        <v>2031</v>
      </c>
      <c r="E231" s="81">
        <v>594</v>
      </c>
    </row>
    <row r="232" spans="1:5" x14ac:dyDescent="0.25">
      <c r="A232" s="94">
        <v>44105</v>
      </c>
      <c r="B232" s="81">
        <v>1591</v>
      </c>
      <c r="C232" s="81">
        <v>16</v>
      </c>
      <c r="D232" s="81">
        <v>1618</v>
      </c>
      <c r="E232" s="81">
        <v>749</v>
      </c>
    </row>
    <row r="233" spans="1:5" x14ac:dyDescent="0.25">
      <c r="A233" s="94">
        <v>44136</v>
      </c>
      <c r="B233" s="81">
        <v>2453</v>
      </c>
      <c r="C233" s="81">
        <v>16</v>
      </c>
      <c r="D233" s="81">
        <v>1899</v>
      </c>
      <c r="E233" s="81">
        <v>576</v>
      </c>
    </row>
    <row r="234" spans="1:5" x14ac:dyDescent="0.25">
      <c r="A234" s="94">
        <v>44166</v>
      </c>
      <c r="B234" s="81">
        <v>1182</v>
      </c>
      <c r="C234" s="81">
        <v>16</v>
      </c>
      <c r="D234" s="81">
        <v>2782</v>
      </c>
      <c r="E234" s="81">
        <v>452</v>
      </c>
    </row>
    <row r="235" spans="1:5" x14ac:dyDescent="0.25">
      <c r="A235" s="52"/>
      <c r="B235" s="53"/>
      <c r="C235" s="53"/>
      <c r="D235" s="53"/>
      <c r="E235" s="53"/>
    </row>
    <row r="236" spans="1:5" x14ac:dyDescent="0.25">
      <c r="A236" s="54"/>
      <c r="B236" s="38"/>
      <c r="C236" s="38"/>
      <c r="D236" s="38"/>
      <c r="E236" s="55"/>
    </row>
    <row r="237" spans="1:5" x14ac:dyDescent="0.25">
      <c r="A237" s="100" t="s">
        <v>57</v>
      </c>
      <c r="B237" s="104"/>
      <c r="C237" s="104"/>
      <c r="D237" s="88"/>
      <c r="E237" s="56"/>
    </row>
    <row r="238" spans="1:5" hidden="1" x14ac:dyDescent="0.25">
      <c r="A238" s="100" t="s">
        <v>58</v>
      </c>
      <c r="B238" s="101"/>
      <c r="C238" s="101"/>
      <c r="D238" s="101"/>
      <c r="E238" s="55"/>
    </row>
    <row r="239" spans="1:5" hidden="1" x14ac:dyDescent="0.25">
      <c r="A239" s="100" t="s">
        <v>59</v>
      </c>
      <c r="B239" s="101"/>
      <c r="C239" s="101"/>
      <c r="D239" s="101"/>
      <c r="E239" s="55"/>
    </row>
    <row r="240" spans="1:5" x14ac:dyDescent="0.25">
      <c r="A240" s="89"/>
      <c r="B240" s="88"/>
      <c r="C240" s="88"/>
      <c r="D240" s="88"/>
      <c r="E240" s="55"/>
    </row>
    <row r="241" spans="1:7" x14ac:dyDescent="0.25">
      <c r="A241" s="90" t="s">
        <v>60</v>
      </c>
      <c r="B241" s="91"/>
      <c r="C241" s="91"/>
      <c r="D241" s="91"/>
      <c r="E241" s="53"/>
    </row>
    <row r="243" spans="1:7" x14ac:dyDescent="0.25">
      <c r="B243" s="30"/>
      <c r="C243" s="30"/>
      <c r="D243" s="30"/>
      <c r="E243" s="30"/>
    </row>
    <row r="244" spans="1:7" x14ac:dyDescent="0.25">
      <c r="B244" s="30"/>
      <c r="D244" s="30"/>
      <c r="E244" s="30"/>
    </row>
    <row r="245" spans="1:7" x14ac:dyDescent="0.25">
      <c r="B245" s="30"/>
      <c r="C245" s="30"/>
      <c r="D245" s="30"/>
      <c r="E245" s="30"/>
      <c r="F245" s="8"/>
    </row>
    <row r="253" spans="1:7" x14ac:dyDescent="0.25">
      <c r="D253" s="31"/>
      <c r="E253" s="31"/>
      <c r="G253" s="4"/>
    </row>
    <row r="254" spans="1:7" x14ac:dyDescent="0.25">
      <c r="D254" s="31"/>
      <c r="E254" s="31"/>
      <c r="G254" s="4"/>
    </row>
    <row r="255" spans="1:7" x14ac:dyDescent="0.25">
      <c r="D255" s="31"/>
      <c r="E255" s="31"/>
    </row>
    <row r="256" spans="1:7" x14ac:dyDescent="0.25">
      <c r="D256" s="31"/>
      <c r="E256" s="31"/>
    </row>
    <row r="257" spans="3:5" x14ac:dyDescent="0.25">
      <c r="D257" s="31"/>
      <c r="E257" s="31"/>
    </row>
    <row r="258" spans="3:5" x14ac:dyDescent="0.25">
      <c r="D258" s="31"/>
      <c r="E258" s="31"/>
    </row>
    <row r="259" spans="3:5" x14ac:dyDescent="0.25">
      <c r="D259" s="31"/>
      <c r="E259" s="31"/>
    </row>
    <row r="260" spans="3:5" x14ac:dyDescent="0.25">
      <c r="D260" s="31"/>
      <c r="E260" s="31"/>
    </row>
    <row r="261" spans="3:5" x14ac:dyDescent="0.25">
      <c r="D261" s="31"/>
      <c r="E261" s="31"/>
    </row>
    <row r="262" spans="3:5" x14ac:dyDescent="0.25">
      <c r="D262" s="31"/>
      <c r="E262" s="31"/>
    </row>
    <row r="263" spans="3:5" x14ac:dyDescent="0.25">
      <c r="C263" s="32"/>
      <c r="D263" s="32"/>
      <c r="E263" s="32"/>
    </row>
    <row r="264" spans="3:5" x14ac:dyDescent="0.25">
      <c r="C264" s="33"/>
      <c r="D264" s="34"/>
      <c r="E264" s="34"/>
    </row>
    <row r="265" spans="3:5" x14ac:dyDescent="0.25">
      <c r="C265" s="33"/>
      <c r="D265" s="34"/>
      <c r="E265" s="34"/>
    </row>
    <row r="266" spans="3:5" x14ac:dyDescent="0.25">
      <c r="C266" s="33"/>
      <c r="D266" s="34"/>
      <c r="E266" s="34"/>
    </row>
    <row r="267" spans="3:5" x14ac:dyDescent="0.25">
      <c r="C267" s="33"/>
      <c r="D267" s="34"/>
      <c r="E267" s="34"/>
    </row>
    <row r="268" spans="3:5" x14ac:dyDescent="0.25">
      <c r="C268" s="33"/>
      <c r="D268" s="34"/>
      <c r="E268" s="34"/>
    </row>
    <row r="269" spans="3:5" x14ac:dyDescent="0.25">
      <c r="C269" s="33"/>
      <c r="D269" s="34"/>
      <c r="E269" s="34"/>
    </row>
    <row r="270" spans="3:5" x14ac:dyDescent="0.25">
      <c r="C270" s="33"/>
      <c r="D270" s="34"/>
      <c r="E270" s="34"/>
    </row>
    <row r="271" spans="3:5" x14ac:dyDescent="0.25">
      <c r="C271" s="33"/>
      <c r="D271" s="34"/>
      <c r="E271" s="34"/>
    </row>
    <row r="272" spans="3:5" x14ac:dyDescent="0.25">
      <c r="C272" s="33"/>
      <c r="D272" s="34"/>
      <c r="E272" s="34"/>
    </row>
    <row r="273" spans="3:5" x14ac:dyDescent="0.25">
      <c r="C273" s="33"/>
      <c r="D273" s="34"/>
      <c r="E273" s="34"/>
    </row>
    <row r="274" spans="3:5" x14ac:dyDescent="0.25">
      <c r="C274" s="32"/>
      <c r="D274" s="32"/>
      <c r="E274" s="32"/>
    </row>
    <row r="275" spans="3:5" x14ac:dyDescent="0.25">
      <c r="C275" s="35"/>
      <c r="D275" s="34"/>
      <c r="E275" s="34"/>
    </row>
    <row r="276" spans="3:5" x14ac:dyDescent="0.25">
      <c r="C276" s="35"/>
      <c r="D276" s="34"/>
      <c r="E276" s="34"/>
    </row>
    <row r="277" spans="3:5" x14ac:dyDescent="0.25">
      <c r="C277" s="35"/>
      <c r="D277" s="34"/>
      <c r="E277" s="34"/>
    </row>
    <row r="278" spans="3:5" x14ac:dyDescent="0.25">
      <c r="C278" s="35"/>
      <c r="D278" s="34"/>
      <c r="E278" s="34"/>
    </row>
    <row r="279" spans="3:5" x14ac:dyDescent="0.25">
      <c r="C279" s="35"/>
      <c r="D279" s="34"/>
      <c r="E279" s="34"/>
    </row>
    <row r="280" spans="3:5" x14ac:dyDescent="0.25">
      <c r="C280" s="35"/>
      <c r="D280" s="34"/>
      <c r="E280" s="34"/>
    </row>
    <row r="281" spans="3:5" x14ac:dyDescent="0.25">
      <c r="C281" s="35"/>
      <c r="D281" s="34"/>
      <c r="E281" s="34"/>
    </row>
    <row r="282" spans="3:5" x14ac:dyDescent="0.25">
      <c r="C282" s="35"/>
      <c r="D282" s="34"/>
      <c r="E282" s="34"/>
    </row>
    <row r="283" spans="3:5" x14ac:dyDescent="0.25">
      <c r="C283" s="35"/>
      <c r="D283" s="34"/>
      <c r="E283" s="34"/>
    </row>
    <row r="284" spans="3:5" x14ac:dyDescent="0.25">
      <c r="C284" s="35"/>
      <c r="D284" s="34"/>
      <c r="E284" s="34"/>
    </row>
    <row r="285" spans="3:5" x14ac:dyDescent="0.25">
      <c r="C285" s="32"/>
      <c r="D285" s="32"/>
      <c r="E285" s="32"/>
    </row>
    <row r="286" spans="3:5" x14ac:dyDescent="0.25">
      <c r="C286" s="35"/>
      <c r="D286" s="34"/>
      <c r="E286" s="34"/>
    </row>
    <row r="287" spans="3:5" x14ac:dyDescent="0.25">
      <c r="C287" s="35"/>
      <c r="D287" s="34"/>
      <c r="E287" s="34"/>
    </row>
    <row r="288" spans="3:5" x14ac:dyDescent="0.25">
      <c r="C288" s="35"/>
      <c r="D288" s="34"/>
      <c r="E288" s="34"/>
    </row>
    <row r="289" spans="3:5" x14ac:dyDescent="0.25">
      <c r="C289" s="35"/>
      <c r="D289" s="34"/>
      <c r="E289" s="34"/>
    </row>
    <row r="290" spans="3:5" x14ac:dyDescent="0.25">
      <c r="C290" s="35"/>
      <c r="D290" s="34"/>
      <c r="E290" s="34"/>
    </row>
    <row r="291" spans="3:5" x14ac:dyDescent="0.25">
      <c r="C291" s="35"/>
      <c r="D291" s="34"/>
      <c r="E291" s="34"/>
    </row>
    <row r="292" spans="3:5" x14ac:dyDescent="0.25">
      <c r="C292" s="35"/>
      <c r="D292" s="34"/>
      <c r="E292" s="34"/>
    </row>
    <row r="293" spans="3:5" x14ac:dyDescent="0.25">
      <c r="C293" s="35"/>
      <c r="D293" s="34"/>
      <c r="E293" s="34"/>
    </row>
    <row r="294" spans="3:5" x14ac:dyDescent="0.25">
      <c r="C294" s="35"/>
      <c r="D294" s="34"/>
      <c r="E294" s="34"/>
    </row>
    <row r="295" spans="3:5" x14ac:dyDescent="0.25">
      <c r="C295" s="35"/>
      <c r="D295" s="34"/>
      <c r="E295" s="34"/>
    </row>
    <row r="296" spans="3:5" x14ac:dyDescent="0.25">
      <c r="C296" s="32"/>
      <c r="D296" s="32"/>
      <c r="E296" s="32"/>
    </row>
    <row r="297" spans="3:5" x14ac:dyDescent="0.25">
      <c r="C297" s="32"/>
      <c r="D297" s="32"/>
      <c r="E297" s="32"/>
    </row>
    <row r="298" spans="3:5" x14ac:dyDescent="0.25">
      <c r="C298" s="32"/>
      <c r="D298" s="32"/>
      <c r="E298" s="32"/>
    </row>
    <row r="299" spans="3:5" x14ac:dyDescent="0.25">
      <c r="C299" s="32"/>
      <c r="D299" s="32"/>
      <c r="E299" s="32"/>
    </row>
    <row r="300" spans="3:5" x14ac:dyDescent="0.25">
      <c r="C300" s="32"/>
      <c r="D300" s="32"/>
      <c r="E300" s="32"/>
    </row>
  </sheetData>
  <mergeCells count="7">
    <mergeCell ref="A239:D239"/>
    <mergeCell ref="B5:B6"/>
    <mergeCell ref="C5:C6"/>
    <mergeCell ref="D5:D6"/>
    <mergeCell ref="E5:E6"/>
    <mergeCell ref="A237:C237"/>
    <mergeCell ref="A238:D238"/>
  </mergeCells>
  <hyperlinks>
    <hyperlink ref="A1" location="Table_of_Contents!A1" display="Back to the table of contents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63"/>
  <sheetViews>
    <sheetView tabSelected="1" workbookViewId="0">
      <pane xSplit="1" ySplit="6" topLeftCell="B87" activePane="bottomRight" state="frozen"/>
      <selection pane="topRight" activeCell="B1" sqref="B1"/>
      <selection pane="bottomLeft" activeCell="A7" sqref="A7"/>
      <selection pane="bottomRight" activeCell="G94" sqref="G94"/>
    </sheetView>
  </sheetViews>
  <sheetFormatPr baseColWidth="10" defaultColWidth="12.6640625" defaultRowHeight="15.75" x14ac:dyDescent="0.25"/>
  <cols>
    <col min="1" max="1" width="25" style="68" customWidth="1"/>
    <col min="2" max="5" width="17.77734375" style="68" customWidth="1"/>
  </cols>
  <sheetData>
    <row r="1" spans="1:10" s="5" customFormat="1" x14ac:dyDescent="0.25">
      <c r="A1" s="57" t="s">
        <v>61</v>
      </c>
      <c r="B1" s="58"/>
      <c r="C1" s="58"/>
      <c r="D1" s="58"/>
      <c r="E1" s="58"/>
    </row>
    <row r="2" spans="1:10" x14ac:dyDescent="0.25">
      <c r="A2" s="57"/>
      <c r="B2" s="58"/>
      <c r="C2" s="58"/>
      <c r="D2" s="58"/>
      <c r="E2" s="59"/>
      <c r="F2" s="5"/>
    </row>
    <row r="3" spans="1:10" x14ac:dyDescent="0.25">
      <c r="A3" s="20" t="s">
        <v>0</v>
      </c>
      <c r="B3" s="20"/>
      <c r="C3" s="20"/>
      <c r="D3" s="20"/>
      <c r="E3" s="21" t="s">
        <v>6</v>
      </c>
    </row>
    <row r="4" spans="1:10" x14ac:dyDescent="0.25">
      <c r="A4" s="36" t="s">
        <v>56</v>
      </c>
      <c r="B4" s="22"/>
      <c r="C4" s="22"/>
      <c r="D4" s="22"/>
      <c r="E4" s="23"/>
    </row>
    <row r="5" spans="1:10" x14ac:dyDescent="0.25">
      <c r="A5" s="86" t="s">
        <v>51</v>
      </c>
      <c r="B5" s="102" t="s">
        <v>48</v>
      </c>
      <c r="C5" s="102" t="s">
        <v>52</v>
      </c>
      <c r="D5" s="102" t="s">
        <v>50</v>
      </c>
      <c r="E5" s="102" t="s">
        <v>1</v>
      </c>
    </row>
    <row r="6" spans="1:10" x14ac:dyDescent="0.25">
      <c r="A6" s="87" t="s">
        <v>53</v>
      </c>
      <c r="B6" s="103"/>
      <c r="C6" s="103"/>
      <c r="D6" s="103"/>
      <c r="E6" s="103"/>
    </row>
    <row r="7" spans="1:10" x14ac:dyDescent="0.25">
      <c r="A7" s="92">
        <v>35855</v>
      </c>
      <c r="B7" s="60">
        <v>4409</v>
      </c>
      <c r="C7" s="60">
        <v>298</v>
      </c>
      <c r="D7" s="60">
        <v>4901</v>
      </c>
      <c r="E7" s="60">
        <v>1507</v>
      </c>
    </row>
    <row r="8" spans="1:10" x14ac:dyDescent="0.25">
      <c r="A8" s="92">
        <v>35947</v>
      </c>
      <c r="B8" s="61">
        <v>3660</v>
      </c>
      <c r="C8" s="61">
        <v>591</v>
      </c>
      <c r="D8" s="61">
        <v>3940</v>
      </c>
      <c r="E8" s="61">
        <v>1016</v>
      </c>
    </row>
    <row r="9" spans="1:10" x14ac:dyDescent="0.25">
      <c r="A9" s="92">
        <v>36039</v>
      </c>
      <c r="B9" s="61">
        <v>1825</v>
      </c>
      <c r="C9" s="61">
        <v>107</v>
      </c>
      <c r="D9" s="61">
        <v>1131</v>
      </c>
      <c r="E9" s="61">
        <v>292</v>
      </c>
    </row>
    <row r="10" spans="1:10" x14ac:dyDescent="0.25">
      <c r="A10" s="92">
        <v>36130</v>
      </c>
      <c r="B10" s="61">
        <v>4452</v>
      </c>
      <c r="C10" s="61">
        <v>562</v>
      </c>
      <c r="D10" s="61">
        <v>4782</v>
      </c>
      <c r="E10" s="61">
        <v>424</v>
      </c>
    </row>
    <row r="11" spans="1:10" x14ac:dyDescent="0.25">
      <c r="A11" s="92">
        <v>36220</v>
      </c>
      <c r="B11" s="61">
        <v>3982</v>
      </c>
      <c r="C11" s="61">
        <v>419</v>
      </c>
      <c r="D11" s="61">
        <v>3378</v>
      </c>
      <c r="E11" s="61">
        <v>181</v>
      </c>
    </row>
    <row r="12" spans="1:10" x14ac:dyDescent="0.25">
      <c r="A12" s="92">
        <v>36312</v>
      </c>
      <c r="B12" s="61">
        <v>3100</v>
      </c>
      <c r="C12" s="61">
        <v>148</v>
      </c>
      <c r="D12" s="61">
        <v>4181</v>
      </c>
      <c r="E12" s="61">
        <v>941</v>
      </c>
    </row>
    <row r="13" spans="1:10" x14ac:dyDescent="0.25">
      <c r="A13" s="92">
        <v>36404</v>
      </c>
      <c r="B13" s="61">
        <v>3365</v>
      </c>
      <c r="C13" s="61">
        <v>47</v>
      </c>
      <c r="D13" s="61">
        <v>3938</v>
      </c>
      <c r="E13" s="61">
        <v>614</v>
      </c>
    </row>
    <row r="14" spans="1:10" x14ac:dyDescent="0.25">
      <c r="A14" s="92">
        <v>36495</v>
      </c>
      <c r="B14" s="61">
        <v>2782</v>
      </c>
      <c r="C14" s="61">
        <v>178</v>
      </c>
      <c r="D14" s="61">
        <v>1336</v>
      </c>
      <c r="E14" s="61">
        <v>390</v>
      </c>
    </row>
    <row r="15" spans="1:10" x14ac:dyDescent="0.25">
      <c r="A15" s="92">
        <v>36586</v>
      </c>
      <c r="B15" s="61">
        <f>Monthly_Data!B9</f>
        <v>2284</v>
      </c>
      <c r="C15" s="61">
        <f>Monthly_Data!C9</f>
        <v>53</v>
      </c>
      <c r="D15" s="61">
        <f>Monthly_Data!D9</f>
        <v>3399</v>
      </c>
      <c r="E15" s="61">
        <f>Monthly_Data!E9</f>
        <v>94</v>
      </c>
    </row>
    <row r="16" spans="1:10" x14ac:dyDescent="0.25">
      <c r="A16" s="92">
        <v>36678</v>
      </c>
      <c r="B16" s="61">
        <f>Monthly_Data!B12</f>
        <v>8682</v>
      </c>
      <c r="C16" s="61">
        <f>Monthly_Data!C12</f>
        <v>481</v>
      </c>
      <c r="D16" s="61">
        <f>Monthly_Data!D12</f>
        <v>8145</v>
      </c>
      <c r="E16" s="61">
        <f>Monthly_Data!E12</f>
        <v>1204</v>
      </c>
      <c r="F16" s="3"/>
      <c r="G16" s="1"/>
      <c r="H16" s="1"/>
      <c r="I16" s="1"/>
      <c r="J16" s="2"/>
    </row>
    <row r="17" spans="1:5" x14ac:dyDescent="0.25">
      <c r="A17" s="92">
        <v>36770</v>
      </c>
      <c r="B17" s="61">
        <f>Monthly_Data!B15</f>
        <v>8345</v>
      </c>
      <c r="C17" s="61">
        <f>Monthly_Data!C15</f>
        <v>50</v>
      </c>
      <c r="D17" s="61">
        <f>Monthly_Data!D15</f>
        <v>4633</v>
      </c>
      <c r="E17" s="61">
        <f>Monthly_Data!E15</f>
        <v>709</v>
      </c>
    </row>
    <row r="18" spans="1:5" x14ac:dyDescent="0.25">
      <c r="A18" s="92">
        <v>36861</v>
      </c>
      <c r="B18" s="61">
        <f>Monthly_Data!B18</f>
        <v>7804</v>
      </c>
      <c r="C18" s="61">
        <f>Monthly_Data!C18</f>
        <v>394</v>
      </c>
      <c r="D18" s="61">
        <f>Monthly_Data!D18</f>
        <v>4936</v>
      </c>
      <c r="E18" s="61">
        <f>Monthly_Data!E18</f>
        <v>372</v>
      </c>
    </row>
    <row r="19" spans="1:5" x14ac:dyDescent="0.25">
      <c r="A19" s="92">
        <v>36951</v>
      </c>
      <c r="B19" s="61"/>
      <c r="C19" s="61"/>
      <c r="D19" s="61"/>
      <c r="E19" s="61"/>
    </row>
    <row r="20" spans="1:5" x14ac:dyDescent="0.25">
      <c r="A20" s="92">
        <v>37043</v>
      </c>
      <c r="B20" s="61"/>
      <c r="C20" s="61"/>
      <c r="D20" s="61"/>
      <c r="E20" s="61"/>
    </row>
    <row r="21" spans="1:5" x14ac:dyDescent="0.25">
      <c r="A21" s="92">
        <v>37135</v>
      </c>
      <c r="B21" s="61"/>
      <c r="C21" s="61"/>
      <c r="D21" s="61"/>
      <c r="E21" s="61"/>
    </row>
    <row r="22" spans="1:5" x14ac:dyDescent="0.25">
      <c r="A22" s="92">
        <v>37226</v>
      </c>
      <c r="B22" s="61"/>
      <c r="C22" s="61"/>
      <c r="D22" s="61"/>
      <c r="E22" s="61"/>
    </row>
    <row r="23" spans="1:5" x14ac:dyDescent="0.25">
      <c r="A23" s="92">
        <v>37316</v>
      </c>
      <c r="B23" s="61">
        <f>Monthly_Data!B21</f>
        <v>2427</v>
      </c>
      <c r="C23" s="61">
        <f>Monthly_Data!C21</f>
        <v>62</v>
      </c>
      <c r="D23" s="61">
        <f>Monthly_Data!D21</f>
        <v>2633</v>
      </c>
      <c r="E23" s="61">
        <f>Monthly_Data!E21</f>
        <v>511</v>
      </c>
    </row>
    <row r="24" spans="1:5" x14ac:dyDescent="0.25">
      <c r="A24" s="92">
        <v>37408</v>
      </c>
      <c r="B24" s="61"/>
      <c r="C24" s="61"/>
      <c r="D24" s="61"/>
      <c r="E24" s="61"/>
    </row>
    <row r="25" spans="1:5" x14ac:dyDescent="0.25">
      <c r="A25" s="92">
        <v>37500</v>
      </c>
      <c r="B25" s="61">
        <f>Monthly_Data!B27</f>
        <v>1225</v>
      </c>
      <c r="C25" s="61">
        <f>Monthly_Data!C27</f>
        <v>127</v>
      </c>
      <c r="D25" s="61">
        <f>Monthly_Data!D27</f>
        <v>1186</v>
      </c>
      <c r="E25" s="61">
        <f>Monthly_Data!E27</f>
        <v>458</v>
      </c>
    </row>
    <row r="26" spans="1:5" x14ac:dyDescent="0.25">
      <c r="A26" s="92">
        <v>37591</v>
      </c>
      <c r="B26" s="61">
        <f>Monthly_Data!B30</f>
        <v>1339</v>
      </c>
      <c r="C26" s="61">
        <f>Monthly_Data!C30</f>
        <v>194</v>
      </c>
      <c r="D26" s="61">
        <f>Monthly_Data!D30</f>
        <v>776</v>
      </c>
      <c r="E26" s="61">
        <f>Monthly_Data!E30</f>
        <v>574</v>
      </c>
    </row>
    <row r="27" spans="1:5" x14ac:dyDescent="0.25">
      <c r="A27" s="92">
        <v>37681</v>
      </c>
      <c r="B27" s="61">
        <f>Monthly_Data!B33</f>
        <v>6964</v>
      </c>
      <c r="C27" s="61">
        <f>Monthly_Data!C33</f>
        <v>519</v>
      </c>
      <c r="D27" s="61">
        <f>Monthly_Data!D33</f>
        <v>4189</v>
      </c>
      <c r="E27" s="61">
        <f>Monthly_Data!E33</f>
        <v>230</v>
      </c>
    </row>
    <row r="28" spans="1:5" x14ac:dyDescent="0.25">
      <c r="A28" s="92">
        <v>37773</v>
      </c>
      <c r="B28" s="61">
        <f>Monthly_Data!B36</f>
        <v>5777</v>
      </c>
      <c r="C28" s="61">
        <f>Monthly_Data!C36</f>
        <v>203</v>
      </c>
      <c r="D28" s="61">
        <f>Monthly_Data!D36</f>
        <v>2800</v>
      </c>
      <c r="E28" s="61">
        <f>Monthly_Data!E36</f>
        <v>852</v>
      </c>
    </row>
    <row r="29" spans="1:5" x14ac:dyDescent="0.25">
      <c r="A29" s="92">
        <v>37865</v>
      </c>
      <c r="B29" s="61">
        <f>Monthly_Data!B39</f>
        <v>4028</v>
      </c>
      <c r="C29" s="61">
        <f>Monthly_Data!C39</f>
        <v>477</v>
      </c>
      <c r="D29" s="61">
        <f>Monthly_Data!D39</f>
        <v>4212</v>
      </c>
      <c r="E29" s="61">
        <f>Monthly_Data!E39</f>
        <v>217</v>
      </c>
    </row>
    <row r="30" spans="1:5" x14ac:dyDescent="0.25">
      <c r="A30" s="92">
        <v>37956</v>
      </c>
      <c r="B30" s="61">
        <f>Monthly_Data!B42</f>
        <v>3919</v>
      </c>
      <c r="C30" s="61">
        <f>Monthly_Data!C42</f>
        <v>186</v>
      </c>
      <c r="D30" s="61">
        <f>Monthly_Data!D42</f>
        <v>3729</v>
      </c>
      <c r="E30" s="61">
        <f>Monthly_Data!E42</f>
        <v>902</v>
      </c>
    </row>
    <row r="31" spans="1:5" x14ac:dyDescent="0.25">
      <c r="A31" s="92">
        <v>38047</v>
      </c>
      <c r="B31" s="61">
        <f>2395+2394</f>
        <v>4789</v>
      </c>
      <c r="C31" s="61">
        <v>489</v>
      </c>
      <c r="D31" s="61">
        <f>2219+1371</f>
        <v>3590</v>
      </c>
      <c r="E31" s="61">
        <v>314</v>
      </c>
    </row>
    <row r="32" spans="1:5" x14ac:dyDescent="0.25">
      <c r="A32" s="92">
        <v>38139</v>
      </c>
      <c r="B32" s="61">
        <f>2836+2222</f>
        <v>5058</v>
      </c>
      <c r="C32" s="61">
        <v>362</v>
      </c>
      <c r="D32" s="61">
        <f>2057+546</f>
        <v>2603</v>
      </c>
      <c r="E32" s="61">
        <v>311</v>
      </c>
    </row>
    <row r="33" spans="1:5" x14ac:dyDescent="0.25">
      <c r="A33" s="92">
        <v>38231</v>
      </c>
      <c r="B33" s="61">
        <f>3153+2429</f>
        <v>5582</v>
      </c>
      <c r="C33" s="61">
        <v>506</v>
      </c>
      <c r="D33" s="61">
        <f>3683+392</f>
        <v>4075</v>
      </c>
      <c r="E33" s="61">
        <v>738</v>
      </c>
    </row>
    <row r="34" spans="1:5" x14ac:dyDescent="0.25">
      <c r="A34" s="92">
        <v>38322</v>
      </c>
      <c r="B34" s="61">
        <f>2696+1613</f>
        <v>4309</v>
      </c>
      <c r="C34" s="61">
        <v>457</v>
      </c>
      <c r="D34" s="61">
        <f>3153+370</f>
        <v>3523</v>
      </c>
      <c r="E34" s="61">
        <v>772</v>
      </c>
    </row>
    <row r="35" spans="1:5" x14ac:dyDescent="0.25">
      <c r="A35" s="92">
        <v>38412</v>
      </c>
      <c r="B35" s="61">
        <f>Monthly_Data!B45</f>
        <v>1371</v>
      </c>
      <c r="C35" s="61">
        <f>Monthly_Data!C45</f>
        <v>339</v>
      </c>
      <c r="D35" s="61">
        <f>Monthly_Data!D45</f>
        <v>1892</v>
      </c>
      <c r="E35" s="61">
        <f>Monthly_Data!E45</f>
        <v>1171</v>
      </c>
    </row>
    <row r="36" spans="1:5" x14ac:dyDescent="0.25">
      <c r="A36" s="92">
        <v>38504</v>
      </c>
      <c r="B36" s="61">
        <f>Monthly_Data!B48</f>
        <v>2565</v>
      </c>
      <c r="C36" s="61">
        <f>Monthly_Data!C48</f>
        <v>98</v>
      </c>
      <c r="D36" s="61">
        <f>Monthly_Data!D48</f>
        <v>2428</v>
      </c>
      <c r="E36" s="61">
        <f>Monthly_Data!E48</f>
        <v>1314</v>
      </c>
    </row>
    <row r="37" spans="1:5" x14ac:dyDescent="0.25">
      <c r="A37" s="92">
        <v>38596</v>
      </c>
      <c r="B37" s="61">
        <f>Monthly_Data!B51</f>
        <v>967</v>
      </c>
      <c r="C37" s="61">
        <f>Monthly_Data!C51</f>
        <v>164</v>
      </c>
      <c r="D37" s="61">
        <f>Monthly_Data!D51</f>
        <v>1014</v>
      </c>
      <c r="E37" s="61">
        <f>Monthly_Data!E51</f>
        <v>1012</v>
      </c>
    </row>
    <row r="38" spans="1:5" x14ac:dyDescent="0.25">
      <c r="A38" s="92">
        <v>38687</v>
      </c>
      <c r="B38" s="61">
        <f>Monthly_Data!B54</f>
        <v>948</v>
      </c>
      <c r="C38" s="61">
        <f>Monthly_Data!C54</f>
        <v>268</v>
      </c>
      <c r="D38" s="61">
        <f>Monthly_Data!D54</f>
        <v>1517</v>
      </c>
      <c r="E38" s="61">
        <f>Monthly_Data!E54</f>
        <v>1423</v>
      </c>
    </row>
    <row r="39" spans="1:5" x14ac:dyDescent="0.25">
      <c r="A39" s="92">
        <v>38777</v>
      </c>
      <c r="B39" s="61">
        <f>Monthly_Data!B57</f>
        <v>3144</v>
      </c>
      <c r="C39" s="61">
        <f>Monthly_Data!C57</f>
        <v>271</v>
      </c>
      <c r="D39" s="61">
        <f>Monthly_Data!D57</f>
        <v>2913</v>
      </c>
      <c r="E39" s="61">
        <f>Monthly_Data!E57</f>
        <v>1242</v>
      </c>
    </row>
    <row r="40" spans="1:5" x14ac:dyDescent="0.25">
      <c r="A40" s="92">
        <v>38869</v>
      </c>
      <c r="B40" s="61">
        <f>Monthly_Data!B60</f>
        <v>1653</v>
      </c>
      <c r="C40" s="61">
        <f>Monthly_Data!C60</f>
        <v>462</v>
      </c>
      <c r="D40" s="61">
        <f>Monthly_Data!D60</f>
        <v>785</v>
      </c>
      <c r="E40" s="61">
        <f>Monthly_Data!E60</f>
        <v>1278</v>
      </c>
    </row>
    <row r="41" spans="1:5" x14ac:dyDescent="0.25">
      <c r="A41" s="92">
        <v>38961</v>
      </c>
      <c r="B41" s="61">
        <f>Monthly_Data!B63</f>
        <v>3535</v>
      </c>
      <c r="C41" s="61">
        <f>Monthly_Data!C63</f>
        <v>504</v>
      </c>
      <c r="D41" s="61">
        <f>Monthly_Data!D63</f>
        <v>2965</v>
      </c>
      <c r="E41" s="61">
        <f>Monthly_Data!E63</f>
        <v>1731</v>
      </c>
    </row>
    <row r="42" spans="1:5" x14ac:dyDescent="0.25">
      <c r="A42" s="92">
        <v>39052</v>
      </c>
      <c r="B42" s="61">
        <f>Monthly_Data!B66</f>
        <v>5619</v>
      </c>
      <c r="C42" s="61">
        <f>Monthly_Data!C66</f>
        <v>358</v>
      </c>
      <c r="D42" s="61">
        <f>Monthly_Data!D66</f>
        <v>3097</v>
      </c>
      <c r="E42" s="61">
        <f>Monthly_Data!E66</f>
        <v>1058</v>
      </c>
    </row>
    <row r="43" spans="1:5" x14ac:dyDescent="0.25">
      <c r="A43" s="92">
        <v>39142</v>
      </c>
      <c r="B43" s="61">
        <f>Monthly_Data!B69</f>
        <v>5053</v>
      </c>
      <c r="C43" s="61">
        <f>Monthly_Data!C69</f>
        <v>201</v>
      </c>
      <c r="D43" s="61">
        <f>Monthly_Data!D69</f>
        <v>2270</v>
      </c>
      <c r="E43" s="61">
        <f>Monthly_Data!E69</f>
        <v>377</v>
      </c>
    </row>
    <row r="44" spans="1:5" x14ac:dyDescent="0.25">
      <c r="A44" s="92">
        <v>39234</v>
      </c>
      <c r="B44" s="61">
        <f>Monthly_Data!B72</f>
        <v>565</v>
      </c>
      <c r="C44" s="61">
        <f>Monthly_Data!C72</f>
        <v>175</v>
      </c>
      <c r="D44" s="61">
        <f>Monthly_Data!D72</f>
        <v>894</v>
      </c>
      <c r="E44" s="61">
        <f>Monthly_Data!E72</f>
        <v>1740</v>
      </c>
    </row>
    <row r="45" spans="1:5" x14ac:dyDescent="0.25">
      <c r="A45" s="92">
        <v>39326</v>
      </c>
      <c r="B45" s="61">
        <f>Monthly_Data!B75</f>
        <v>2934</v>
      </c>
      <c r="C45" s="61">
        <f>Monthly_Data!C75</f>
        <v>413</v>
      </c>
      <c r="D45" s="61">
        <f>Monthly_Data!D75</f>
        <v>3020</v>
      </c>
      <c r="E45" s="61">
        <f>Monthly_Data!E75</f>
        <v>1469</v>
      </c>
    </row>
    <row r="46" spans="1:5" x14ac:dyDescent="0.25">
      <c r="A46" s="92">
        <v>39417</v>
      </c>
      <c r="B46" s="61">
        <f>Monthly_Data!B78</f>
        <v>3213</v>
      </c>
      <c r="C46" s="61">
        <f>Monthly_Data!C78</f>
        <v>166</v>
      </c>
      <c r="D46" s="61">
        <f>Monthly_Data!D78</f>
        <v>2315</v>
      </c>
      <c r="E46" s="61">
        <f>Monthly_Data!E78</f>
        <v>620</v>
      </c>
    </row>
    <row r="47" spans="1:5" x14ac:dyDescent="0.25">
      <c r="A47" s="92">
        <v>39508</v>
      </c>
      <c r="B47" s="61">
        <f>Monthly_Data!B81</f>
        <v>2749</v>
      </c>
      <c r="C47" s="61">
        <f>Monthly_Data!C81</f>
        <v>490</v>
      </c>
      <c r="D47" s="61">
        <f>Monthly_Data!D81</f>
        <v>3401</v>
      </c>
      <c r="E47" s="61">
        <f>Monthly_Data!E81</f>
        <v>1961</v>
      </c>
    </row>
    <row r="48" spans="1:5" x14ac:dyDescent="0.25">
      <c r="A48" s="92">
        <v>39600</v>
      </c>
      <c r="B48" s="61">
        <f>Monthly_Data!B84</f>
        <v>4850</v>
      </c>
      <c r="C48" s="61">
        <f>Monthly_Data!C84</f>
        <v>111</v>
      </c>
      <c r="D48" s="61">
        <f>Monthly_Data!D84</f>
        <v>2421</v>
      </c>
      <c r="E48" s="61">
        <f>Monthly_Data!E84</f>
        <v>1027</v>
      </c>
    </row>
    <row r="49" spans="1:8" x14ac:dyDescent="0.25">
      <c r="A49" s="92">
        <v>39692</v>
      </c>
      <c r="B49" s="61">
        <f>Monthly_Data!B87</f>
        <v>2702</v>
      </c>
      <c r="C49" s="61">
        <f>Monthly_Data!C87</f>
        <v>55</v>
      </c>
      <c r="D49" s="61">
        <f>Monthly_Data!D87</f>
        <v>4313</v>
      </c>
      <c r="E49" s="61">
        <f>Monthly_Data!E87</f>
        <v>325</v>
      </c>
    </row>
    <row r="50" spans="1:8" x14ac:dyDescent="0.25">
      <c r="A50" s="92">
        <v>39783</v>
      </c>
      <c r="B50" s="61">
        <f>Monthly_Data!B90</f>
        <v>1055</v>
      </c>
      <c r="C50" s="61">
        <f>Monthly_Data!C90</f>
        <v>349</v>
      </c>
      <c r="D50" s="61">
        <f>Monthly_Data!D90</f>
        <v>2052</v>
      </c>
      <c r="E50" s="61">
        <f>Monthly_Data!E90</f>
        <v>366</v>
      </c>
    </row>
    <row r="51" spans="1:8" x14ac:dyDescent="0.25">
      <c r="A51" s="92">
        <v>39873</v>
      </c>
      <c r="B51" s="61">
        <f>Monthly_Data!B93</f>
        <v>2095</v>
      </c>
      <c r="C51" s="61">
        <f>Monthly_Data!C93</f>
        <v>452</v>
      </c>
      <c r="D51" s="61">
        <f>Monthly_Data!D93</f>
        <v>2665</v>
      </c>
      <c r="E51" s="61">
        <f>Monthly_Data!E93</f>
        <v>1075</v>
      </c>
    </row>
    <row r="52" spans="1:8" x14ac:dyDescent="0.25">
      <c r="A52" s="92">
        <v>39965</v>
      </c>
      <c r="B52" s="61">
        <f>Monthly_Data!B96</f>
        <v>4657</v>
      </c>
      <c r="C52" s="61">
        <f>Monthly_Data!C96</f>
        <v>279</v>
      </c>
      <c r="D52" s="61">
        <f>Monthly_Data!D96</f>
        <v>2775</v>
      </c>
      <c r="E52" s="61">
        <f>Monthly_Data!E96</f>
        <v>932</v>
      </c>
    </row>
    <row r="53" spans="1:8" x14ac:dyDescent="0.25">
      <c r="A53" s="92">
        <v>40057</v>
      </c>
      <c r="B53" s="61">
        <f>Monthly_Data!B99</f>
        <v>1126</v>
      </c>
      <c r="C53" s="61">
        <f>Monthly_Data!C99</f>
        <v>206</v>
      </c>
      <c r="D53" s="61">
        <f>Monthly_Data!D99</f>
        <v>2101</v>
      </c>
      <c r="E53" s="61">
        <f>Monthly_Data!E99</f>
        <v>798</v>
      </c>
    </row>
    <row r="54" spans="1:8" x14ac:dyDescent="0.25">
      <c r="A54" s="92">
        <v>40148</v>
      </c>
      <c r="B54" s="61">
        <f>Monthly_Data!B102</f>
        <v>1581</v>
      </c>
      <c r="C54" s="61">
        <f>Monthly_Data!C102</f>
        <v>406</v>
      </c>
      <c r="D54" s="61">
        <f>Monthly_Data!D102</f>
        <v>1263</v>
      </c>
      <c r="E54" s="61">
        <f>Monthly_Data!E102</f>
        <v>498</v>
      </c>
    </row>
    <row r="55" spans="1:8" x14ac:dyDescent="0.25">
      <c r="A55" s="92">
        <v>40238</v>
      </c>
      <c r="B55" s="61">
        <f>Monthly_Data!B105</f>
        <v>3141</v>
      </c>
      <c r="C55" s="61">
        <f>Monthly_Data!C105</f>
        <v>373</v>
      </c>
      <c r="D55" s="61">
        <f>Monthly_Data!D105</f>
        <v>2229</v>
      </c>
      <c r="E55" s="61">
        <f>Monthly_Data!E105</f>
        <v>1208</v>
      </c>
    </row>
    <row r="56" spans="1:8" x14ac:dyDescent="0.25">
      <c r="A56" s="92">
        <v>40330</v>
      </c>
      <c r="B56" s="61">
        <f>Monthly_Data!B108</f>
        <v>4069</v>
      </c>
      <c r="C56" s="61">
        <f>Monthly_Data!C108</f>
        <v>294</v>
      </c>
      <c r="D56" s="61">
        <f>Monthly_Data!D108</f>
        <v>4212</v>
      </c>
      <c r="E56" s="61">
        <f>Monthly_Data!E108</f>
        <v>1709</v>
      </c>
    </row>
    <row r="57" spans="1:8" x14ac:dyDescent="0.25">
      <c r="A57" s="92">
        <v>40422</v>
      </c>
      <c r="B57" s="61">
        <f>Monthly_Data!B111</f>
        <v>2278</v>
      </c>
      <c r="C57" s="61">
        <f>Monthly_Data!C111</f>
        <v>164</v>
      </c>
      <c r="D57" s="61">
        <f>Monthly_Data!D111</f>
        <v>2379</v>
      </c>
      <c r="E57" s="61">
        <f>Monthly_Data!E111</f>
        <v>616</v>
      </c>
    </row>
    <row r="58" spans="1:8" x14ac:dyDescent="0.25">
      <c r="A58" s="92">
        <v>40513</v>
      </c>
      <c r="B58" s="61">
        <f>Monthly_Data!B114</f>
        <v>1521</v>
      </c>
      <c r="C58" s="61">
        <f>Monthly_Data!C114</f>
        <v>440</v>
      </c>
      <c r="D58" s="61">
        <f>Monthly_Data!D114</f>
        <v>1550</v>
      </c>
      <c r="E58" s="61">
        <f>Monthly_Data!E114</f>
        <v>626</v>
      </c>
    </row>
    <row r="59" spans="1:8" x14ac:dyDescent="0.25">
      <c r="A59" s="92">
        <v>40603</v>
      </c>
      <c r="B59" s="61">
        <f>Monthly_Data!B117</f>
        <v>3513</v>
      </c>
      <c r="C59" s="61">
        <f>Monthly_Data!C117</f>
        <v>191</v>
      </c>
      <c r="D59" s="61">
        <f>Monthly_Data!D117</f>
        <v>4227</v>
      </c>
      <c r="E59" s="61">
        <f>Monthly_Data!E117</f>
        <v>1184</v>
      </c>
    </row>
    <row r="60" spans="1:8" x14ac:dyDescent="0.25">
      <c r="A60" s="92">
        <v>40695</v>
      </c>
      <c r="B60" s="61">
        <f>Monthly_Data!B120</f>
        <v>1100</v>
      </c>
      <c r="C60" s="61">
        <f>Monthly_Data!C120</f>
        <v>465</v>
      </c>
      <c r="D60" s="61">
        <f>Monthly_Data!D120</f>
        <v>1433</v>
      </c>
      <c r="E60" s="61">
        <f>Monthly_Data!E120</f>
        <v>709</v>
      </c>
    </row>
    <row r="61" spans="1:8" x14ac:dyDescent="0.25">
      <c r="A61" s="92">
        <v>40787</v>
      </c>
      <c r="B61" s="61">
        <f>Monthly_Data!B123</f>
        <v>1118</v>
      </c>
      <c r="C61" s="61">
        <f>Monthly_Data!C123</f>
        <v>290</v>
      </c>
      <c r="D61" s="61">
        <f>Monthly_Data!D123</f>
        <v>3315</v>
      </c>
      <c r="E61" s="61">
        <f>Monthly_Data!E123</f>
        <v>1649</v>
      </c>
    </row>
    <row r="62" spans="1:8" x14ac:dyDescent="0.25">
      <c r="A62" s="92">
        <v>40878</v>
      </c>
      <c r="B62" s="61">
        <f>Monthly_Data!B126</f>
        <v>1076</v>
      </c>
      <c r="C62" s="61">
        <f>Monthly_Data!C126</f>
        <v>358</v>
      </c>
      <c r="D62" s="61">
        <f>Monthly_Data!D126</f>
        <v>2382</v>
      </c>
      <c r="E62" s="61">
        <f>Monthly_Data!E126</f>
        <v>1313</v>
      </c>
    </row>
    <row r="63" spans="1:8" x14ac:dyDescent="0.25">
      <c r="A63" s="92">
        <v>40969</v>
      </c>
      <c r="B63" s="61">
        <f>Monthly_Data!B129</f>
        <v>730</v>
      </c>
      <c r="C63" s="61">
        <f>Monthly_Data!C129</f>
        <v>16</v>
      </c>
      <c r="D63" s="61">
        <f>Monthly_Data!D129</f>
        <v>4139</v>
      </c>
      <c r="E63" s="61">
        <f>Monthly_Data!E129</f>
        <v>333</v>
      </c>
      <c r="H63" s="6"/>
    </row>
    <row r="64" spans="1:8" x14ac:dyDescent="0.25">
      <c r="A64" s="92">
        <v>41061</v>
      </c>
      <c r="B64" s="61">
        <f>Monthly_Data!B132</f>
        <v>2349</v>
      </c>
      <c r="C64" s="61">
        <f>Monthly_Data!C132</f>
        <v>73</v>
      </c>
      <c r="D64" s="61">
        <f>Monthly_Data!D132</f>
        <v>1710</v>
      </c>
      <c r="E64" s="61">
        <f>Monthly_Data!E132</f>
        <v>67</v>
      </c>
      <c r="H64" s="6"/>
    </row>
    <row r="65" spans="1:8" x14ac:dyDescent="0.25">
      <c r="A65" s="92">
        <v>41153</v>
      </c>
      <c r="B65" s="61">
        <f>Monthly_Data!B135</f>
        <v>612</v>
      </c>
      <c r="C65" s="61">
        <f>Monthly_Data!C135</f>
        <v>411</v>
      </c>
      <c r="D65" s="61">
        <f>Monthly_Data!D135</f>
        <v>1434</v>
      </c>
      <c r="E65" s="61">
        <f>Monthly_Data!E135</f>
        <v>1230</v>
      </c>
      <c r="H65" s="6"/>
    </row>
    <row r="66" spans="1:8" x14ac:dyDescent="0.25">
      <c r="A66" s="92">
        <v>41244</v>
      </c>
      <c r="B66" s="61">
        <f>Monthly_Data!B138</f>
        <v>138</v>
      </c>
      <c r="C66" s="61">
        <f>Monthly_Data!C138</f>
        <v>474</v>
      </c>
      <c r="D66" s="61">
        <f>Monthly_Data!D138</f>
        <v>1103</v>
      </c>
      <c r="E66" s="61">
        <f>Monthly_Data!E138</f>
        <v>1099</v>
      </c>
      <c r="H66" s="6"/>
    </row>
    <row r="67" spans="1:8" x14ac:dyDescent="0.25">
      <c r="A67" s="92">
        <v>41334</v>
      </c>
      <c r="B67" s="61">
        <f>Monthly_Data!B141</f>
        <v>111</v>
      </c>
      <c r="C67" s="61">
        <f>Monthly_Data!C141</f>
        <v>481</v>
      </c>
      <c r="D67" s="61">
        <f>Monthly_Data!D141</f>
        <v>2433</v>
      </c>
      <c r="E67" s="61">
        <f>Monthly_Data!E141</f>
        <v>1726</v>
      </c>
    </row>
    <row r="68" spans="1:8" x14ac:dyDescent="0.25">
      <c r="A68" s="92">
        <v>41426</v>
      </c>
      <c r="B68" s="61">
        <f>Monthly_Data!B144</f>
        <v>2145</v>
      </c>
      <c r="C68" s="61">
        <f>Monthly_Data!C144</f>
        <v>305</v>
      </c>
      <c r="D68" s="61">
        <f>Monthly_Data!D144</f>
        <v>545</v>
      </c>
      <c r="E68" s="61">
        <f>Monthly_Data!E144</f>
        <v>189</v>
      </c>
    </row>
    <row r="69" spans="1:8" x14ac:dyDescent="0.25">
      <c r="A69" s="92">
        <v>41518</v>
      </c>
      <c r="B69" s="61">
        <f>Monthly_Data!B147</f>
        <v>1566</v>
      </c>
      <c r="C69" s="61">
        <f>Monthly_Data!C147</f>
        <v>255</v>
      </c>
      <c r="D69" s="61">
        <f>Monthly_Data!D147</f>
        <v>1347</v>
      </c>
      <c r="E69" s="61">
        <f>Monthly_Data!E147</f>
        <v>639</v>
      </c>
    </row>
    <row r="70" spans="1:8" x14ac:dyDescent="0.25">
      <c r="A70" s="92">
        <v>41609</v>
      </c>
      <c r="B70" s="61">
        <f>Monthly_Data!B150</f>
        <v>1863</v>
      </c>
      <c r="C70" s="61">
        <f>Monthly_Data!C150</f>
        <v>355</v>
      </c>
      <c r="D70" s="61">
        <f>Monthly_Data!D150</f>
        <v>2329</v>
      </c>
      <c r="E70" s="61">
        <f>Monthly_Data!E150</f>
        <v>867</v>
      </c>
    </row>
    <row r="71" spans="1:8" x14ac:dyDescent="0.25">
      <c r="A71" s="92">
        <v>41699</v>
      </c>
      <c r="B71" s="61">
        <f>Monthly_Data!B153</f>
        <v>2249</v>
      </c>
      <c r="C71" s="61">
        <f>Monthly_Data!C153</f>
        <v>396</v>
      </c>
      <c r="D71" s="61">
        <f>Monthly_Data!D153</f>
        <v>4038</v>
      </c>
      <c r="E71" s="61">
        <f>Monthly_Data!E153</f>
        <v>1658</v>
      </c>
    </row>
    <row r="72" spans="1:8" x14ac:dyDescent="0.25">
      <c r="A72" s="92">
        <v>41791</v>
      </c>
      <c r="B72" s="61">
        <f>Monthly_Data!B156</f>
        <v>821</v>
      </c>
      <c r="C72" s="61">
        <f>Monthly_Data!C156</f>
        <v>302</v>
      </c>
      <c r="D72" s="61">
        <f>Monthly_Data!D156</f>
        <v>1854</v>
      </c>
      <c r="E72" s="61">
        <f>Monthly_Data!E156</f>
        <v>748</v>
      </c>
    </row>
    <row r="73" spans="1:8" x14ac:dyDescent="0.25">
      <c r="A73" s="92">
        <v>41883</v>
      </c>
      <c r="B73" s="61">
        <f>Monthly_Data!B159</f>
        <v>1323</v>
      </c>
      <c r="C73" s="61">
        <f>Monthly_Data!C159</f>
        <v>188</v>
      </c>
      <c r="D73" s="61">
        <f>Monthly_Data!D159</f>
        <v>2143</v>
      </c>
      <c r="E73" s="61">
        <f>Monthly_Data!E159</f>
        <v>926</v>
      </c>
    </row>
    <row r="74" spans="1:8" x14ac:dyDescent="0.25">
      <c r="A74" s="92">
        <v>41974</v>
      </c>
      <c r="B74" s="61">
        <f>Monthly_Data!B162</f>
        <v>472</v>
      </c>
      <c r="C74" s="61">
        <f>Monthly_Data!C162</f>
        <v>17</v>
      </c>
      <c r="D74" s="61">
        <f>Monthly_Data!D162</f>
        <v>2094</v>
      </c>
      <c r="E74" s="61">
        <f>Monthly_Data!E162</f>
        <v>880</v>
      </c>
    </row>
    <row r="75" spans="1:8" x14ac:dyDescent="0.25">
      <c r="A75" s="92">
        <v>42064</v>
      </c>
      <c r="B75" s="61">
        <f>Monthly_Data!B165</f>
        <v>439</v>
      </c>
      <c r="C75" s="61">
        <f>Monthly_Data!C165</f>
        <v>63</v>
      </c>
      <c r="D75" s="61">
        <f>Monthly_Data!D165</f>
        <v>671</v>
      </c>
      <c r="E75" s="61">
        <f>Monthly_Data!E165</f>
        <v>678</v>
      </c>
    </row>
    <row r="76" spans="1:8" x14ac:dyDescent="0.25">
      <c r="A76" s="92">
        <v>42156</v>
      </c>
      <c r="B76" s="61">
        <f>Monthly_Data!B168</f>
        <v>905</v>
      </c>
      <c r="C76" s="61">
        <f>Monthly_Data!C168</f>
        <v>58</v>
      </c>
      <c r="D76" s="61">
        <f>Monthly_Data!D168</f>
        <v>1670</v>
      </c>
      <c r="E76" s="61">
        <f>Monthly_Data!E168</f>
        <v>390</v>
      </c>
    </row>
    <row r="77" spans="1:8" x14ac:dyDescent="0.25">
      <c r="A77" s="92">
        <v>42248</v>
      </c>
      <c r="B77" s="62">
        <f>Monthly_Data!B171</f>
        <v>1265</v>
      </c>
      <c r="C77" s="62">
        <f>Monthly_Data!C171</f>
        <v>117</v>
      </c>
      <c r="D77" s="62">
        <f>Monthly_Data!D171</f>
        <v>1758</v>
      </c>
      <c r="E77" s="62">
        <f>Monthly_Data!E171</f>
        <v>583</v>
      </c>
    </row>
    <row r="78" spans="1:8" x14ac:dyDescent="0.25">
      <c r="A78" s="92">
        <v>42339</v>
      </c>
      <c r="B78" s="62">
        <f>Monthly_Data!B174</f>
        <v>1739</v>
      </c>
      <c r="C78" s="62">
        <f>Monthly_Data!C174</f>
        <v>94</v>
      </c>
      <c r="D78" s="62">
        <f>Monthly_Data!D174</f>
        <v>741</v>
      </c>
      <c r="E78" s="62">
        <f>Monthly_Data!E174</f>
        <v>586</v>
      </c>
    </row>
    <row r="79" spans="1:8" x14ac:dyDescent="0.25">
      <c r="A79" s="92">
        <v>42430</v>
      </c>
      <c r="B79" s="62">
        <f>Monthly_Data!B177</f>
        <v>1117</v>
      </c>
      <c r="C79" s="62">
        <f>Monthly_Data!C177</f>
        <v>49</v>
      </c>
      <c r="D79" s="62">
        <f>Monthly_Data!D177</f>
        <v>1161</v>
      </c>
      <c r="E79" s="62">
        <f>Monthly_Data!E177</f>
        <v>394</v>
      </c>
    </row>
    <row r="80" spans="1:8" x14ac:dyDescent="0.25">
      <c r="A80" s="92">
        <v>42522</v>
      </c>
      <c r="B80" s="62">
        <f>Monthly_Data!B180</f>
        <v>111</v>
      </c>
      <c r="C80" s="62">
        <f>Monthly_Data!C180</f>
        <v>33</v>
      </c>
      <c r="D80" s="62">
        <f>Monthly_Data!D180</f>
        <v>605</v>
      </c>
      <c r="E80" s="62">
        <f>Monthly_Data!E180</f>
        <v>292</v>
      </c>
    </row>
    <row r="81" spans="1:5" x14ac:dyDescent="0.25">
      <c r="A81" s="92">
        <v>42614</v>
      </c>
      <c r="B81" s="62">
        <f>Monthly_Data!B183</f>
        <v>1360</v>
      </c>
      <c r="C81" s="62">
        <f>Monthly_Data!C183</f>
        <v>17</v>
      </c>
      <c r="D81" s="62">
        <f>Monthly_Data!D183</f>
        <v>1110</v>
      </c>
      <c r="E81" s="62">
        <f>Monthly_Data!E183</f>
        <v>292</v>
      </c>
    </row>
    <row r="82" spans="1:5" x14ac:dyDescent="0.25">
      <c r="A82" s="92">
        <v>42705</v>
      </c>
      <c r="B82" s="62">
        <f>Monthly_Data!B186</f>
        <v>658</v>
      </c>
      <c r="C82" s="62">
        <f>Monthly_Data!C186</f>
        <v>98</v>
      </c>
      <c r="D82" s="62">
        <f>Monthly_Data!D186</f>
        <v>1855</v>
      </c>
      <c r="E82" s="62">
        <f>Monthly_Data!E186</f>
        <v>258</v>
      </c>
    </row>
    <row r="83" spans="1:5" x14ac:dyDescent="0.25">
      <c r="A83" s="92">
        <v>42795</v>
      </c>
      <c r="B83" s="62">
        <f>Monthly_Data!B189</f>
        <v>687</v>
      </c>
      <c r="C83" s="62">
        <f>Monthly_Data!C189</f>
        <v>341</v>
      </c>
      <c r="D83" s="62">
        <f>Monthly_Data!D189</f>
        <v>1497</v>
      </c>
      <c r="E83" s="62">
        <f>Monthly_Data!E189</f>
        <v>153</v>
      </c>
    </row>
    <row r="84" spans="1:5" x14ac:dyDescent="0.25">
      <c r="A84" s="92">
        <v>42887</v>
      </c>
      <c r="B84" s="62">
        <f>Monthly_Data!B192</f>
        <v>227</v>
      </c>
      <c r="C84" s="62">
        <f>Monthly_Data!C192</f>
        <v>255</v>
      </c>
      <c r="D84" s="62">
        <f>Monthly_Data!D192</f>
        <v>778</v>
      </c>
      <c r="E84" s="62">
        <f>Monthly_Data!E192</f>
        <v>167</v>
      </c>
    </row>
    <row r="85" spans="1:5" x14ac:dyDescent="0.25">
      <c r="A85" s="92">
        <v>42979</v>
      </c>
      <c r="B85" s="62">
        <v>351</v>
      </c>
      <c r="C85" s="62">
        <v>131</v>
      </c>
      <c r="D85" s="62">
        <v>1573</v>
      </c>
      <c r="E85" s="62">
        <v>958</v>
      </c>
    </row>
    <row r="86" spans="1:5" x14ac:dyDescent="0.25">
      <c r="A86" s="92">
        <v>43070</v>
      </c>
      <c r="B86" s="62">
        <v>578</v>
      </c>
      <c r="C86" s="62">
        <v>180</v>
      </c>
      <c r="D86" s="62">
        <v>2689</v>
      </c>
      <c r="E86" s="62">
        <v>1126</v>
      </c>
    </row>
    <row r="87" spans="1:5" x14ac:dyDescent="0.25">
      <c r="A87" s="92">
        <v>43160</v>
      </c>
      <c r="B87" s="62">
        <v>815</v>
      </c>
      <c r="C87" s="62">
        <v>188</v>
      </c>
      <c r="D87" s="62">
        <v>3223</v>
      </c>
      <c r="E87" s="62">
        <v>1476</v>
      </c>
    </row>
    <row r="88" spans="1:5" x14ac:dyDescent="0.25">
      <c r="A88" s="92">
        <v>43252</v>
      </c>
      <c r="B88" s="62">
        <v>1729</v>
      </c>
      <c r="C88" s="62">
        <v>113</v>
      </c>
      <c r="D88" s="62">
        <v>3082</v>
      </c>
      <c r="E88" s="62">
        <v>907</v>
      </c>
    </row>
    <row r="89" spans="1:5" x14ac:dyDescent="0.25">
      <c r="A89" s="92">
        <v>43344</v>
      </c>
      <c r="B89" s="62">
        <v>1444</v>
      </c>
      <c r="C89" s="62">
        <v>110</v>
      </c>
      <c r="D89" s="62">
        <v>2324</v>
      </c>
      <c r="E89" s="62">
        <v>655</v>
      </c>
    </row>
    <row r="90" spans="1:5" x14ac:dyDescent="0.25">
      <c r="A90" s="92">
        <v>43435</v>
      </c>
      <c r="B90" s="62">
        <v>927</v>
      </c>
      <c r="C90" s="62">
        <v>87</v>
      </c>
      <c r="D90" s="62">
        <v>1067</v>
      </c>
      <c r="E90" s="62">
        <v>809</v>
      </c>
    </row>
    <row r="91" spans="1:5" x14ac:dyDescent="0.25">
      <c r="A91" s="92">
        <v>43525</v>
      </c>
      <c r="B91" s="62">
        <v>1336</v>
      </c>
      <c r="C91" s="62">
        <v>53</v>
      </c>
      <c r="D91" s="62">
        <v>1528</v>
      </c>
      <c r="E91" s="62">
        <v>470</v>
      </c>
    </row>
    <row r="92" spans="1:5" x14ac:dyDescent="0.25">
      <c r="A92" s="92">
        <v>43617</v>
      </c>
      <c r="B92" s="62">
        <v>719</v>
      </c>
      <c r="C92" s="62">
        <v>47</v>
      </c>
      <c r="D92" s="62">
        <v>1538</v>
      </c>
      <c r="E92" s="62">
        <v>317</v>
      </c>
    </row>
    <row r="93" spans="1:5" x14ac:dyDescent="0.25">
      <c r="A93" s="92">
        <v>43709</v>
      </c>
      <c r="B93" s="62">
        <v>2065</v>
      </c>
      <c r="C93" s="62">
        <v>16</v>
      </c>
      <c r="D93" s="62">
        <v>1567</v>
      </c>
      <c r="E93" s="62">
        <v>130</v>
      </c>
    </row>
    <row r="94" spans="1:5" x14ac:dyDescent="0.25">
      <c r="A94" s="92">
        <v>43800</v>
      </c>
      <c r="B94" s="62">
        <v>2083</v>
      </c>
      <c r="C94" s="62">
        <v>85</v>
      </c>
      <c r="D94" s="62">
        <v>1946</v>
      </c>
      <c r="E94" s="62">
        <v>814</v>
      </c>
    </row>
    <row r="95" spans="1:5" x14ac:dyDescent="0.25">
      <c r="A95" s="92">
        <v>43891</v>
      </c>
      <c r="B95" s="62">
        <v>1079</v>
      </c>
      <c r="C95" s="62">
        <v>41</v>
      </c>
      <c r="D95" s="62">
        <v>3279</v>
      </c>
      <c r="E95" s="62">
        <v>891</v>
      </c>
    </row>
    <row r="96" spans="1:5" x14ac:dyDescent="0.25">
      <c r="A96" s="92">
        <v>43983</v>
      </c>
      <c r="B96" s="62">
        <v>1111</v>
      </c>
      <c r="C96" s="62">
        <v>16</v>
      </c>
      <c r="D96" s="62">
        <v>4904</v>
      </c>
      <c r="E96" s="62">
        <v>799</v>
      </c>
    </row>
    <row r="97" spans="1:6" x14ac:dyDescent="0.25">
      <c r="A97" s="92">
        <v>44075</v>
      </c>
      <c r="B97" s="62">
        <v>2470</v>
      </c>
      <c r="C97" s="62">
        <v>34</v>
      </c>
      <c r="D97" s="62">
        <v>2031</v>
      </c>
      <c r="E97" s="62">
        <v>594</v>
      </c>
    </row>
    <row r="98" spans="1:6" x14ac:dyDescent="0.25">
      <c r="A98" s="92">
        <v>44166</v>
      </c>
      <c r="B98" s="62">
        <v>1182</v>
      </c>
      <c r="C98" s="62">
        <v>16</v>
      </c>
      <c r="D98" s="62">
        <v>2782</v>
      </c>
      <c r="E98" s="62">
        <v>452</v>
      </c>
    </row>
    <row r="99" spans="1:6" x14ac:dyDescent="0.25">
      <c r="A99" s="63"/>
      <c r="B99" s="64"/>
      <c r="C99" s="64"/>
      <c r="D99" s="64"/>
      <c r="E99" s="64"/>
    </row>
    <row r="100" spans="1:6" x14ac:dyDescent="0.25">
      <c r="A100" s="100" t="s">
        <v>57</v>
      </c>
      <c r="B100" s="104"/>
      <c r="C100" s="104"/>
      <c r="D100" s="88"/>
      <c r="E100" s="65"/>
    </row>
    <row r="101" spans="1:6" hidden="1" x14ac:dyDescent="0.25">
      <c r="A101" s="100" t="s">
        <v>58</v>
      </c>
      <c r="B101" s="101"/>
      <c r="C101" s="101"/>
      <c r="D101" s="101"/>
      <c r="E101" s="66"/>
    </row>
    <row r="102" spans="1:6" hidden="1" x14ac:dyDescent="0.25">
      <c r="A102" s="100" t="s">
        <v>59</v>
      </c>
      <c r="B102" s="101"/>
      <c r="C102" s="101"/>
      <c r="D102" s="101"/>
      <c r="E102" s="66"/>
    </row>
    <row r="103" spans="1:6" x14ac:dyDescent="0.25">
      <c r="A103" s="89"/>
      <c r="B103" s="88"/>
      <c r="C103" s="88"/>
      <c r="D103" s="88"/>
      <c r="E103" s="66"/>
    </row>
    <row r="104" spans="1:6" x14ac:dyDescent="0.25">
      <c r="A104" s="90" t="s">
        <v>60</v>
      </c>
      <c r="B104" s="91"/>
      <c r="C104" s="91"/>
      <c r="D104" s="91"/>
      <c r="E104" s="67"/>
    </row>
    <row r="106" spans="1:6" x14ac:dyDescent="0.25">
      <c r="B106" s="69"/>
      <c r="C106" s="69"/>
      <c r="D106" s="69"/>
      <c r="E106" s="69"/>
    </row>
    <row r="107" spans="1:6" x14ac:dyDescent="0.25">
      <c r="B107" s="69"/>
      <c r="D107" s="69"/>
      <c r="E107" s="69"/>
    </row>
    <row r="108" spans="1:6" x14ac:dyDescent="0.25">
      <c r="B108" s="69"/>
      <c r="C108" s="69"/>
      <c r="D108" s="69"/>
      <c r="E108" s="69"/>
      <c r="F108" s="8"/>
    </row>
    <row r="116" spans="3:7" x14ac:dyDescent="0.25">
      <c r="D116" s="4"/>
      <c r="E116" s="4"/>
      <c r="G116" s="4"/>
    </row>
    <row r="117" spans="3:7" x14ac:dyDescent="0.25">
      <c r="D117" s="4"/>
      <c r="E117" s="4"/>
      <c r="G117" s="4"/>
    </row>
    <row r="118" spans="3:7" x14ac:dyDescent="0.25">
      <c r="D118" s="4"/>
      <c r="E118" s="4"/>
    </row>
    <row r="119" spans="3:7" x14ac:dyDescent="0.25">
      <c r="D119" s="4"/>
      <c r="E119" s="4"/>
    </row>
    <row r="120" spans="3:7" x14ac:dyDescent="0.25">
      <c r="D120" s="4"/>
      <c r="E120" s="4"/>
    </row>
    <row r="121" spans="3:7" x14ac:dyDescent="0.25">
      <c r="D121" s="4"/>
      <c r="E121" s="4"/>
    </row>
    <row r="122" spans="3:7" x14ac:dyDescent="0.25">
      <c r="D122" s="4"/>
      <c r="E122" s="4"/>
    </row>
    <row r="123" spans="3:7" x14ac:dyDescent="0.25">
      <c r="D123" s="4"/>
      <c r="E123" s="4"/>
    </row>
    <row r="124" spans="3:7" x14ac:dyDescent="0.25">
      <c r="D124" s="4"/>
      <c r="E124" s="4"/>
    </row>
    <row r="125" spans="3:7" x14ac:dyDescent="0.25">
      <c r="D125" s="4"/>
      <c r="E125" s="4"/>
    </row>
    <row r="126" spans="3:7" x14ac:dyDescent="0.25">
      <c r="C126" s="70"/>
      <c r="D126" s="70"/>
      <c r="E126" s="70"/>
    </row>
    <row r="127" spans="3:7" x14ac:dyDescent="0.25">
      <c r="C127" s="71"/>
      <c r="D127" s="4"/>
      <c r="E127" s="4"/>
    </row>
    <row r="128" spans="3:7" x14ac:dyDescent="0.25">
      <c r="C128" s="71"/>
      <c r="D128" s="4"/>
      <c r="E128" s="4"/>
    </row>
    <row r="129" spans="3:5" x14ac:dyDescent="0.25">
      <c r="C129" s="71"/>
      <c r="D129" s="4"/>
      <c r="E129" s="4"/>
    </row>
    <row r="130" spans="3:5" x14ac:dyDescent="0.25">
      <c r="C130" s="71"/>
      <c r="D130" s="4"/>
      <c r="E130" s="4"/>
    </row>
    <row r="131" spans="3:5" x14ac:dyDescent="0.25">
      <c r="C131" s="71"/>
      <c r="D131" s="4"/>
      <c r="E131" s="4"/>
    </row>
    <row r="132" spans="3:5" x14ac:dyDescent="0.25">
      <c r="C132" s="71"/>
      <c r="D132" s="4"/>
      <c r="E132" s="4"/>
    </row>
    <row r="133" spans="3:5" x14ac:dyDescent="0.25">
      <c r="C133" s="71"/>
      <c r="D133" s="4"/>
      <c r="E133" s="4"/>
    </row>
    <row r="134" spans="3:5" x14ac:dyDescent="0.25">
      <c r="C134" s="71"/>
      <c r="D134" s="4"/>
      <c r="E134" s="4"/>
    </row>
    <row r="135" spans="3:5" x14ac:dyDescent="0.25">
      <c r="C135" s="71"/>
      <c r="D135" s="4"/>
      <c r="E135" s="4"/>
    </row>
    <row r="136" spans="3:5" x14ac:dyDescent="0.25">
      <c r="C136" s="71"/>
      <c r="D136" s="4"/>
      <c r="E136" s="4"/>
    </row>
    <row r="137" spans="3:5" x14ac:dyDescent="0.25">
      <c r="C137" s="70"/>
      <c r="D137" s="70"/>
      <c r="E137" s="70"/>
    </row>
    <row r="138" spans="3:5" x14ac:dyDescent="0.25">
      <c r="C138" s="72"/>
      <c r="D138" s="4"/>
      <c r="E138" s="4"/>
    </row>
    <row r="139" spans="3:5" x14ac:dyDescent="0.25">
      <c r="C139" s="72"/>
      <c r="D139" s="4"/>
      <c r="E139" s="4"/>
    </row>
    <row r="140" spans="3:5" x14ac:dyDescent="0.25">
      <c r="C140" s="72"/>
      <c r="D140" s="4"/>
      <c r="E140" s="4"/>
    </row>
    <row r="141" spans="3:5" x14ac:dyDescent="0.25">
      <c r="C141" s="72"/>
      <c r="D141" s="4"/>
      <c r="E141" s="4"/>
    </row>
    <row r="142" spans="3:5" x14ac:dyDescent="0.25">
      <c r="C142" s="72"/>
      <c r="D142" s="4"/>
      <c r="E142" s="4"/>
    </row>
    <row r="143" spans="3:5" x14ac:dyDescent="0.25">
      <c r="C143" s="72"/>
      <c r="D143" s="4"/>
      <c r="E143" s="4"/>
    </row>
    <row r="144" spans="3:5" x14ac:dyDescent="0.25">
      <c r="C144" s="72"/>
      <c r="D144" s="4"/>
      <c r="E144" s="4"/>
    </row>
    <row r="145" spans="3:5" x14ac:dyDescent="0.25">
      <c r="C145" s="72"/>
      <c r="D145" s="4"/>
      <c r="E145" s="4"/>
    </row>
    <row r="146" spans="3:5" x14ac:dyDescent="0.25">
      <c r="C146" s="72"/>
      <c r="D146" s="4"/>
      <c r="E146" s="4"/>
    </row>
    <row r="147" spans="3:5" x14ac:dyDescent="0.25">
      <c r="C147" s="72"/>
      <c r="D147" s="4"/>
      <c r="E147" s="4"/>
    </row>
    <row r="148" spans="3:5" x14ac:dyDescent="0.25">
      <c r="C148" s="70"/>
      <c r="D148" s="70"/>
      <c r="E148" s="70"/>
    </row>
    <row r="149" spans="3:5" x14ac:dyDescent="0.25">
      <c r="C149" s="72"/>
      <c r="D149" s="4"/>
      <c r="E149" s="4"/>
    </row>
    <row r="150" spans="3:5" x14ac:dyDescent="0.25">
      <c r="C150" s="72"/>
      <c r="D150" s="4"/>
      <c r="E150" s="4"/>
    </row>
    <row r="151" spans="3:5" x14ac:dyDescent="0.25">
      <c r="C151" s="72"/>
      <c r="D151" s="4"/>
      <c r="E151" s="4"/>
    </row>
    <row r="152" spans="3:5" x14ac:dyDescent="0.25">
      <c r="C152" s="72"/>
      <c r="D152" s="4"/>
      <c r="E152" s="4"/>
    </row>
    <row r="153" spans="3:5" x14ac:dyDescent="0.25">
      <c r="C153" s="72"/>
      <c r="D153" s="4"/>
      <c r="E153" s="4"/>
    </row>
    <row r="154" spans="3:5" x14ac:dyDescent="0.25">
      <c r="C154" s="72"/>
      <c r="D154" s="4"/>
      <c r="E154" s="4"/>
    </row>
    <row r="155" spans="3:5" x14ac:dyDescent="0.25">
      <c r="C155" s="72"/>
      <c r="D155" s="4"/>
      <c r="E155" s="4"/>
    </row>
    <row r="156" spans="3:5" x14ac:dyDescent="0.25">
      <c r="C156" s="72"/>
      <c r="D156" s="4"/>
      <c r="E156" s="4"/>
    </row>
    <row r="157" spans="3:5" x14ac:dyDescent="0.25">
      <c r="C157" s="72"/>
      <c r="D157" s="4"/>
      <c r="E157" s="4"/>
    </row>
    <row r="158" spans="3:5" x14ac:dyDescent="0.25">
      <c r="C158" s="72"/>
      <c r="D158" s="4"/>
      <c r="E158" s="4"/>
    </row>
    <row r="159" spans="3:5" x14ac:dyDescent="0.25">
      <c r="C159" s="70"/>
      <c r="D159" s="70"/>
      <c r="E159" s="70"/>
    </row>
    <row r="160" spans="3:5" x14ac:dyDescent="0.25">
      <c r="C160" s="70"/>
      <c r="D160" s="70"/>
      <c r="E160" s="70"/>
    </row>
    <row r="161" spans="3:5" x14ac:dyDescent="0.25">
      <c r="C161" s="70"/>
      <c r="D161" s="70"/>
      <c r="E161" s="70"/>
    </row>
    <row r="162" spans="3:5" x14ac:dyDescent="0.25">
      <c r="C162" s="70"/>
      <c r="D162" s="70"/>
      <c r="E162" s="70"/>
    </row>
    <row r="163" spans="3:5" x14ac:dyDescent="0.25">
      <c r="C163" s="70"/>
      <c r="D163" s="70"/>
      <c r="E163" s="70"/>
    </row>
  </sheetData>
  <mergeCells count="7">
    <mergeCell ref="A102:D102"/>
    <mergeCell ref="B5:B6"/>
    <mergeCell ref="C5:C6"/>
    <mergeCell ref="D5:D6"/>
    <mergeCell ref="E5:E6"/>
    <mergeCell ref="A100:C100"/>
    <mergeCell ref="A101:D101"/>
  </mergeCells>
  <hyperlinks>
    <hyperlink ref="A1" location="Table_of_Contents!A1" display="Back to the table of cont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99"/>
  <sheetViews>
    <sheetView topLeftCell="A19" workbookViewId="0">
      <selection activeCell="G26" sqref="G26"/>
    </sheetView>
  </sheetViews>
  <sheetFormatPr baseColWidth="10" defaultColWidth="12.6640625" defaultRowHeight="15.75" x14ac:dyDescent="0.25"/>
  <cols>
    <col min="1" max="1" width="35.44140625" style="76" customWidth="1"/>
    <col min="2" max="5" width="17.77734375" style="76" customWidth="1"/>
  </cols>
  <sheetData>
    <row r="1" spans="1:10" s="5" customFormat="1" x14ac:dyDescent="0.25">
      <c r="A1" s="57" t="s">
        <v>61</v>
      </c>
      <c r="B1" s="38"/>
      <c r="C1" s="38"/>
      <c r="D1" s="38"/>
      <c r="E1" s="38"/>
    </row>
    <row r="2" spans="1:10" x14ac:dyDescent="0.25">
      <c r="A2" s="37"/>
      <c r="B2" s="38"/>
      <c r="C2" s="38"/>
      <c r="D2" s="38"/>
      <c r="E2" s="38"/>
    </row>
    <row r="3" spans="1:10" x14ac:dyDescent="0.25">
      <c r="A3" s="24" t="s">
        <v>0</v>
      </c>
      <c r="B3" s="24"/>
      <c r="C3" s="24"/>
      <c r="D3" s="24"/>
      <c r="E3" s="25" t="s">
        <v>6</v>
      </c>
    </row>
    <row r="4" spans="1:10" x14ac:dyDescent="0.25">
      <c r="A4" s="26" t="s">
        <v>54</v>
      </c>
      <c r="B4" s="27"/>
      <c r="C4" s="27"/>
      <c r="D4" s="27"/>
      <c r="E4" s="28"/>
    </row>
    <row r="5" spans="1:10" x14ac:dyDescent="0.25">
      <c r="A5" s="86" t="s">
        <v>51</v>
      </c>
      <c r="B5" s="102" t="s">
        <v>48</v>
      </c>
      <c r="C5" s="102" t="s">
        <v>52</v>
      </c>
      <c r="D5" s="102" t="s">
        <v>50</v>
      </c>
      <c r="E5" s="102" t="s">
        <v>1</v>
      </c>
    </row>
    <row r="6" spans="1:10" x14ac:dyDescent="0.25">
      <c r="A6" s="87" t="s">
        <v>53</v>
      </c>
      <c r="B6" s="103"/>
      <c r="C6" s="103"/>
      <c r="D6" s="103"/>
      <c r="E6" s="103"/>
    </row>
    <row r="7" spans="1:10" x14ac:dyDescent="0.25">
      <c r="A7" s="73" t="s">
        <v>2</v>
      </c>
      <c r="B7" s="73">
        <v>3053</v>
      </c>
      <c r="C7" s="73">
        <v>462</v>
      </c>
      <c r="D7" s="73">
        <v>2059</v>
      </c>
      <c r="E7" s="73">
        <v>211</v>
      </c>
    </row>
    <row r="8" spans="1:10" x14ac:dyDescent="0.25">
      <c r="A8" s="74" t="s">
        <v>3</v>
      </c>
      <c r="B8" s="74">
        <v>911</v>
      </c>
      <c r="C8" s="74">
        <v>22</v>
      </c>
      <c r="D8" s="74">
        <v>2248</v>
      </c>
      <c r="E8" s="74">
        <v>192</v>
      </c>
    </row>
    <row r="9" spans="1:10" x14ac:dyDescent="0.25">
      <c r="A9" s="74" t="s">
        <v>4</v>
      </c>
      <c r="B9" s="74">
        <v>5122</v>
      </c>
      <c r="C9" s="74">
        <v>449</v>
      </c>
      <c r="D9" s="74">
        <v>5012</v>
      </c>
      <c r="E9" s="74">
        <v>1568</v>
      </c>
    </row>
    <row r="10" spans="1:10" x14ac:dyDescent="0.25">
      <c r="A10" s="74" t="s">
        <v>5</v>
      </c>
      <c r="B10" s="74">
        <f>Quarterly_Data!B10</f>
        <v>4452</v>
      </c>
      <c r="C10" s="74">
        <f>Quarterly_Data!C10</f>
        <v>562</v>
      </c>
      <c r="D10" s="74">
        <f>Quarterly_Data!D10</f>
        <v>4782</v>
      </c>
      <c r="E10" s="74">
        <f>Quarterly_Data!E10</f>
        <v>424</v>
      </c>
    </row>
    <row r="11" spans="1:10" x14ac:dyDescent="0.25">
      <c r="A11" s="74" t="s">
        <v>23</v>
      </c>
      <c r="B11" s="74">
        <f>Quarterly_Data!B14</f>
        <v>2782</v>
      </c>
      <c r="C11" s="74">
        <v>178</v>
      </c>
      <c r="D11" s="74">
        <v>1336</v>
      </c>
      <c r="E11" s="74">
        <v>390</v>
      </c>
    </row>
    <row r="12" spans="1:10" x14ac:dyDescent="0.25">
      <c r="A12" s="74" t="s">
        <v>24</v>
      </c>
      <c r="B12" s="74">
        <f>Quarterly_Data!B18</f>
        <v>7804</v>
      </c>
      <c r="C12" s="74">
        <v>394</v>
      </c>
      <c r="D12" s="74">
        <v>4936</v>
      </c>
      <c r="E12" s="74">
        <v>372</v>
      </c>
    </row>
    <row r="13" spans="1:10" x14ac:dyDescent="0.25">
      <c r="A13" s="74" t="s">
        <v>25</v>
      </c>
      <c r="B13" s="74">
        <v>3919</v>
      </c>
      <c r="C13" s="74">
        <v>186</v>
      </c>
      <c r="D13" s="74">
        <v>3729</v>
      </c>
      <c r="E13" s="74">
        <v>902</v>
      </c>
    </row>
    <row r="14" spans="1:10" x14ac:dyDescent="0.25">
      <c r="A14" s="74" t="s">
        <v>10</v>
      </c>
      <c r="B14" s="74">
        <f>Quarterly_Data!B26</f>
        <v>1339</v>
      </c>
      <c r="C14" s="74">
        <v>66</v>
      </c>
      <c r="D14" s="74">
        <v>4001</v>
      </c>
      <c r="E14" s="74">
        <v>324</v>
      </c>
    </row>
    <row r="15" spans="1:10" x14ac:dyDescent="0.25">
      <c r="A15" s="74" t="s">
        <v>9</v>
      </c>
      <c r="B15" s="74">
        <f>Quarterly_Data!B30</f>
        <v>3919</v>
      </c>
      <c r="C15" s="74">
        <f>Quarterly_Data!C30</f>
        <v>186</v>
      </c>
      <c r="D15" s="74">
        <f>Quarterly_Data!D30</f>
        <v>3729</v>
      </c>
      <c r="E15" s="74">
        <f>Quarterly_Data!E30</f>
        <v>902</v>
      </c>
      <c r="F15" s="3"/>
      <c r="G15" s="1"/>
      <c r="H15" s="1"/>
      <c r="I15" s="1"/>
      <c r="J15" s="2"/>
    </row>
    <row r="16" spans="1:10" x14ac:dyDescent="0.25">
      <c r="A16" s="74" t="s">
        <v>7</v>
      </c>
      <c r="B16" s="74">
        <f>Quarterly_Data!B34</f>
        <v>4309</v>
      </c>
      <c r="C16" s="74">
        <f>Quarterly_Data!C34</f>
        <v>457</v>
      </c>
      <c r="D16" s="74">
        <f>Quarterly_Data!D34</f>
        <v>3523</v>
      </c>
      <c r="E16" s="74">
        <f>Quarterly_Data!E34</f>
        <v>772</v>
      </c>
    </row>
    <row r="17" spans="1:5" x14ac:dyDescent="0.25">
      <c r="A17" s="74" t="s">
        <v>14</v>
      </c>
      <c r="B17" s="74">
        <f>Quarterly_Data!B38</f>
        <v>948</v>
      </c>
      <c r="C17" s="74">
        <f>Quarterly_Data!C38</f>
        <v>268</v>
      </c>
      <c r="D17" s="74">
        <f>Quarterly_Data!D38</f>
        <v>1517</v>
      </c>
      <c r="E17" s="74">
        <f>Quarterly_Data!E38</f>
        <v>1423</v>
      </c>
    </row>
    <row r="18" spans="1:5" x14ac:dyDescent="0.25">
      <c r="A18" s="74" t="s">
        <v>8</v>
      </c>
      <c r="B18" s="74">
        <f>Quarterly_Data!B42</f>
        <v>5619</v>
      </c>
      <c r="C18" s="74">
        <f>Quarterly_Data!C42</f>
        <v>358</v>
      </c>
      <c r="D18" s="74">
        <f>Quarterly_Data!D42</f>
        <v>3097</v>
      </c>
      <c r="E18" s="74">
        <f>Quarterly_Data!E42</f>
        <v>1058</v>
      </c>
    </row>
    <row r="19" spans="1:5" x14ac:dyDescent="0.25">
      <c r="A19" s="74" t="s">
        <v>11</v>
      </c>
      <c r="B19" s="74">
        <f>Quarterly_Data!B46</f>
        <v>3213</v>
      </c>
      <c r="C19" s="74">
        <f>Quarterly_Data!C46</f>
        <v>166</v>
      </c>
      <c r="D19" s="74">
        <f>Quarterly_Data!D46</f>
        <v>2315</v>
      </c>
      <c r="E19" s="74">
        <f>Quarterly_Data!E46</f>
        <v>620</v>
      </c>
    </row>
    <row r="20" spans="1:5" x14ac:dyDescent="0.25">
      <c r="A20" s="74" t="s">
        <v>12</v>
      </c>
      <c r="B20" s="74">
        <f>Quarterly_Data!B50</f>
        <v>1055</v>
      </c>
      <c r="C20" s="74">
        <f>Quarterly_Data!C50</f>
        <v>349</v>
      </c>
      <c r="D20" s="74">
        <f>Quarterly_Data!D50</f>
        <v>2052</v>
      </c>
      <c r="E20" s="74">
        <f>Quarterly_Data!E50</f>
        <v>366</v>
      </c>
    </row>
    <row r="21" spans="1:5" x14ac:dyDescent="0.25">
      <c r="A21" s="74" t="s">
        <v>13</v>
      </c>
      <c r="B21" s="74">
        <f>Quarterly_Data!B54</f>
        <v>1581</v>
      </c>
      <c r="C21" s="74">
        <f>Quarterly_Data!C54</f>
        <v>406</v>
      </c>
      <c r="D21" s="74">
        <f>Quarterly_Data!D54</f>
        <v>1263</v>
      </c>
      <c r="E21" s="74">
        <f>Quarterly_Data!E54</f>
        <v>498</v>
      </c>
    </row>
    <row r="22" spans="1:5" x14ac:dyDescent="0.25">
      <c r="A22" s="74" t="s">
        <v>15</v>
      </c>
      <c r="B22" s="74">
        <f>Quarterly_Data!B58</f>
        <v>1521</v>
      </c>
      <c r="C22" s="74">
        <f>Quarterly_Data!C58</f>
        <v>440</v>
      </c>
      <c r="D22" s="74">
        <f>Quarterly_Data!D58</f>
        <v>1550</v>
      </c>
      <c r="E22" s="74">
        <f>Quarterly_Data!E58</f>
        <v>626</v>
      </c>
    </row>
    <row r="23" spans="1:5" x14ac:dyDescent="0.25">
      <c r="A23" s="74" t="s">
        <v>16</v>
      </c>
      <c r="B23" s="74">
        <f>Quarterly_Data!B62</f>
        <v>1076</v>
      </c>
      <c r="C23" s="74">
        <f>Quarterly_Data!C62</f>
        <v>358</v>
      </c>
      <c r="D23" s="74">
        <f>Quarterly_Data!D62</f>
        <v>2382</v>
      </c>
      <c r="E23" s="74">
        <f>Quarterly_Data!E62</f>
        <v>1313</v>
      </c>
    </row>
    <row r="24" spans="1:5" x14ac:dyDescent="0.25">
      <c r="A24" s="74" t="s">
        <v>17</v>
      </c>
      <c r="B24" s="74">
        <f>Quarterly_Data!B66</f>
        <v>138</v>
      </c>
      <c r="C24" s="74">
        <f>Quarterly_Data!C66</f>
        <v>474</v>
      </c>
      <c r="D24" s="74">
        <f>Quarterly_Data!D66</f>
        <v>1103</v>
      </c>
      <c r="E24" s="74">
        <f>Quarterly_Data!E66</f>
        <v>1099</v>
      </c>
    </row>
    <row r="25" spans="1:5" x14ac:dyDescent="0.25">
      <c r="A25" s="74" t="s">
        <v>18</v>
      </c>
      <c r="B25" s="74">
        <f>Quarterly_Data!B70</f>
        <v>1863</v>
      </c>
      <c r="C25" s="74">
        <f>Quarterly_Data!C70</f>
        <v>355</v>
      </c>
      <c r="D25" s="74">
        <f>Quarterly_Data!D70</f>
        <v>2329</v>
      </c>
      <c r="E25" s="74">
        <f>Quarterly_Data!E70</f>
        <v>867</v>
      </c>
    </row>
    <row r="26" spans="1:5" x14ac:dyDescent="0.25">
      <c r="A26" s="74" t="s">
        <v>19</v>
      </c>
      <c r="B26" s="74">
        <f>Quarterly_Data!B74</f>
        <v>472</v>
      </c>
      <c r="C26" s="74">
        <f>Quarterly_Data!C74</f>
        <v>17</v>
      </c>
      <c r="D26" s="74">
        <f>Quarterly_Data!D74</f>
        <v>2094</v>
      </c>
      <c r="E26" s="74">
        <f>Quarterly_Data!E74</f>
        <v>880</v>
      </c>
    </row>
    <row r="27" spans="1:5" x14ac:dyDescent="0.25">
      <c r="A27" s="74" t="s">
        <v>20</v>
      </c>
      <c r="B27" s="74">
        <f>Quarterly_Data!B78</f>
        <v>1739</v>
      </c>
      <c r="C27" s="74">
        <f>Quarterly_Data!C78</f>
        <v>94</v>
      </c>
      <c r="D27" s="74">
        <f>Quarterly_Data!D78</f>
        <v>741</v>
      </c>
      <c r="E27" s="74">
        <f>Quarterly_Data!E78</f>
        <v>586</v>
      </c>
    </row>
    <row r="28" spans="1:5" x14ac:dyDescent="0.25">
      <c r="A28" s="74" t="s">
        <v>21</v>
      </c>
      <c r="B28" s="74">
        <f>Quarterly_Data!B82</f>
        <v>658</v>
      </c>
      <c r="C28" s="74">
        <f>Quarterly_Data!C82</f>
        <v>98</v>
      </c>
      <c r="D28" s="74">
        <f>Quarterly_Data!D82</f>
        <v>1855</v>
      </c>
      <c r="E28" s="74">
        <f>Quarterly_Data!E82</f>
        <v>258</v>
      </c>
    </row>
    <row r="29" spans="1:5" x14ac:dyDescent="0.25">
      <c r="A29" s="74" t="s">
        <v>22</v>
      </c>
      <c r="B29" s="74">
        <v>578</v>
      </c>
      <c r="C29" s="74">
        <v>180</v>
      </c>
      <c r="D29" s="74">
        <v>2689</v>
      </c>
      <c r="E29" s="74">
        <v>1126</v>
      </c>
    </row>
    <row r="30" spans="1:5" x14ac:dyDescent="0.25">
      <c r="A30" s="74" t="s">
        <v>32</v>
      </c>
      <c r="B30" s="74">
        <v>927</v>
      </c>
      <c r="C30" s="74">
        <v>87</v>
      </c>
      <c r="D30" s="74">
        <v>1067</v>
      </c>
      <c r="E30" s="74">
        <v>809</v>
      </c>
    </row>
    <row r="31" spans="1:5" x14ac:dyDescent="0.25">
      <c r="A31" s="74" t="s">
        <v>62</v>
      </c>
      <c r="B31" s="74">
        <v>2083</v>
      </c>
      <c r="C31" s="74">
        <v>85</v>
      </c>
      <c r="D31" s="74">
        <v>1946</v>
      </c>
      <c r="E31" s="74">
        <v>814</v>
      </c>
    </row>
    <row r="32" spans="1:5" x14ac:dyDescent="0.25">
      <c r="A32" s="74" t="s">
        <v>63</v>
      </c>
      <c r="B32" s="74">
        <v>1182</v>
      </c>
      <c r="C32" s="74">
        <v>16</v>
      </c>
      <c r="D32" s="74">
        <v>2782</v>
      </c>
      <c r="E32" s="74">
        <v>452</v>
      </c>
    </row>
    <row r="33" spans="1:6" x14ac:dyDescent="0.25">
      <c r="A33" s="74"/>
      <c r="B33" s="74"/>
      <c r="C33" s="74"/>
      <c r="D33" s="74"/>
      <c r="E33" s="74"/>
    </row>
    <row r="34" spans="1:6" x14ac:dyDescent="0.25">
      <c r="A34" s="53"/>
      <c r="B34" s="55"/>
      <c r="C34" s="55"/>
      <c r="D34" s="55"/>
      <c r="E34" s="55"/>
    </row>
    <row r="35" spans="1:6" x14ac:dyDescent="0.25">
      <c r="A35" s="54"/>
      <c r="B35" s="47"/>
      <c r="C35" s="47"/>
      <c r="D35" s="47"/>
      <c r="E35" s="75"/>
    </row>
    <row r="36" spans="1:6" x14ac:dyDescent="0.25">
      <c r="A36" s="100" t="s">
        <v>57</v>
      </c>
      <c r="B36" s="104"/>
      <c r="C36" s="104"/>
      <c r="D36" s="88"/>
      <c r="E36" s="56"/>
    </row>
    <row r="37" spans="1:6" hidden="1" x14ac:dyDescent="0.25">
      <c r="A37" s="100" t="s">
        <v>58</v>
      </c>
      <c r="B37" s="101"/>
      <c r="C37" s="101"/>
      <c r="D37" s="101"/>
      <c r="E37" s="55"/>
    </row>
    <row r="38" spans="1:6" hidden="1" x14ac:dyDescent="0.25">
      <c r="A38" s="100" t="s">
        <v>59</v>
      </c>
      <c r="B38" s="101"/>
      <c r="C38" s="101"/>
      <c r="D38" s="101"/>
      <c r="E38" s="55"/>
    </row>
    <row r="39" spans="1:6" x14ac:dyDescent="0.25">
      <c r="A39" s="89"/>
      <c r="B39" s="88"/>
      <c r="C39" s="88"/>
      <c r="D39" s="88"/>
      <c r="E39" s="55"/>
    </row>
    <row r="40" spans="1:6" x14ac:dyDescent="0.25">
      <c r="A40" s="90" t="s">
        <v>60</v>
      </c>
      <c r="B40" s="91"/>
      <c r="C40" s="91"/>
      <c r="D40" s="91"/>
      <c r="E40" s="53"/>
    </row>
    <row r="42" spans="1:6" x14ac:dyDescent="0.25">
      <c r="B42" s="77"/>
      <c r="C42" s="77"/>
      <c r="D42" s="77"/>
      <c r="E42" s="77"/>
    </row>
    <row r="43" spans="1:6" x14ac:dyDescent="0.25">
      <c r="B43" s="77"/>
      <c r="D43" s="77"/>
      <c r="E43" s="77"/>
    </row>
    <row r="44" spans="1:6" x14ac:dyDescent="0.25">
      <c r="B44" s="77"/>
      <c r="C44" s="77"/>
      <c r="D44" s="77"/>
      <c r="E44" s="77"/>
      <c r="F44" s="8"/>
    </row>
    <row r="52" spans="3:7" x14ac:dyDescent="0.25">
      <c r="D52" s="31"/>
      <c r="E52" s="31"/>
      <c r="G52" s="4"/>
    </row>
    <row r="53" spans="3:7" x14ac:dyDescent="0.25">
      <c r="D53" s="31"/>
      <c r="E53" s="31"/>
      <c r="G53" s="4"/>
    </row>
    <row r="54" spans="3:7" x14ac:dyDescent="0.25">
      <c r="D54" s="31"/>
      <c r="E54" s="31"/>
    </row>
    <row r="55" spans="3:7" x14ac:dyDescent="0.25">
      <c r="D55" s="31"/>
      <c r="E55" s="31"/>
    </row>
    <row r="56" spans="3:7" x14ac:dyDescent="0.25">
      <c r="D56" s="31"/>
      <c r="E56" s="31"/>
    </row>
    <row r="57" spans="3:7" x14ac:dyDescent="0.25">
      <c r="D57" s="31"/>
      <c r="E57" s="31"/>
    </row>
    <row r="58" spans="3:7" x14ac:dyDescent="0.25">
      <c r="D58" s="31"/>
      <c r="E58" s="31"/>
    </row>
    <row r="59" spans="3:7" x14ac:dyDescent="0.25">
      <c r="D59" s="31"/>
      <c r="E59" s="31"/>
    </row>
    <row r="60" spans="3:7" x14ac:dyDescent="0.25">
      <c r="D60" s="31"/>
      <c r="E60" s="31"/>
    </row>
    <row r="61" spans="3:7" x14ac:dyDescent="0.25">
      <c r="D61" s="31"/>
      <c r="E61" s="31"/>
    </row>
    <row r="62" spans="3:7" x14ac:dyDescent="0.25">
      <c r="C62" s="78"/>
      <c r="D62" s="78"/>
      <c r="E62" s="78"/>
    </row>
    <row r="63" spans="3:7" x14ac:dyDescent="0.25">
      <c r="C63" s="79"/>
      <c r="D63" s="31"/>
      <c r="E63" s="31"/>
    </row>
    <row r="64" spans="3:7" x14ac:dyDescent="0.25">
      <c r="C64" s="79"/>
      <c r="D64" s="31"/>
      <c r="E64" s="31"/>
    </row>
    <row r="65" spans="3:5" x14ac:dyDescent="0.25">
      <c r="C65" s="79"/>
      <c r="D65" s="31"/>
      <c r="E65" s="31"/>
    </row>
    <row r="66" spans="3:5" x14ac:dyDescent="0.25">
      <c r="C66" s="79"/>
      <c r="D66" s="31"/>
      <c r="E66" s="31"/>
    </row>
    <row r="67" spans="3:5" x14ac:dyDescent="0.25">
      <c r="C67" s="79"/>
      <c r="D67" s="31"/>
      <c r="E67" s="31"/>
    </row>
    <row r="68" spans="3:5" x14ac:dyDescent="0.25">
      <c r="C68" s="79"/>
      <c r="D68" s="31"/>
      <c r="E68" s="31"/>
    </row>
    <row r="69" spans="3:5" x14ac:dyDescent="0.25">
      <c r="C69" s="79"/>
      <c r="D69" s="31"/>
      <c r="E69" s="31"/>
    </row>
    <row r="70" spans="3:5" x14ac:dyDescent="0.25">
      <c r="C70" s="79"/>
      <c r="D70" s="31"/>
      <c r="E70" s="31"/>
    </row>
    <row r="71" spans="3:5" x14ac:dyDescent="0.25">
      <c r="C71" s="79"/>
      <c r="D71" s="31"/>
      <c r="E71" s="31"/>
    </row>
    <row r="72" spans="3:5" x14ac:dyDescent="0.25">
      <c r="C72" s="79"/>
      <c r="D72" s="31"/>
      <c r="E72" s="31"/>
    </row>
    <row r="73" spans="3:5" x14ac:dyDescent="0.25">
      <c r="C73" s="78"/>
      <c r="D73" s="78"/>
      <c r="E73" s="78"/>
    </row>
    <row r="74" spans="3:5" x14ac:dyDescent="0.25">
      <c r="C74" s="80"/>
      <c r="D74" s="31"/>
      <c r="E74" s="31"/>
    </row>
    <row r="75" spans="3:5" x14ac:dyDescent="0.25">
      <c r="C75" s="80"/>
      <c r="D75" s="31"/>
      <c r="E75" s="31"/>
    </row>
    <row r="76" spans="3:5" x14ac:dyDescent="0.25">
      <c r="C76" s="80"/>
      <c r="D76" s="31"/>
      <c r="E76" s="31"/>
    </row>
    <row r="77" spans="3:5" x14ac:dyDescent="0.25">
      <c r="C77" s="80"/>
      <c r="D77" s="31"/>
      <c r="E77" s="31"/>
    </row>
    <row r="78" spans="3:5" x14ac:dyDescent="0.25">
      <c r="C78" s="80"/>
      <c r="D78" s="31"/>
      <c r="E78" s="31"/>
    </row>
    <row r="79" spans="3:5" x14ac:dyDescent="0.25">
      <c r="C79" s="80"/>
      <c r="D79" s="31"/>
      <c r="E79" s="31"/>
    </row>
    <row r="80" spans="3:5" x14ac:dyDescent="0.25">
      <c r="C80" s="80"/>
      <c r="D80" s="31"/>
      <c r="E80" s="31"/>
    </row>
    <row r="81" spans="3:5" x14ac:dyDescent="0.25">
      <c r="C81" s="80"/>
      <c r="D81" s="31"/>
      <c r="E81" s="31"/>
    </row>
    <row r="82" spans="3:5" x14ac:dyDescent="0.25">
      <c r="C82" s="80"/>
      <c r="D82" s="31"/>
      <c r="E82" s="31"/>
    </row>
    <row r="83" spans="3:5" x14ac:dyDescent="0.25">
      <c r="C83" s="80"/>
      <c r="D83" s="31"/>
      <c r="E83" s="31"/>
    </row>
    <row r="84" spans="3:5" x14ac:dyDescent="0.25">
      <c r="C84" s="78"/>
      <c r="D84" s="78"/>
      <c r="E84" s="78"/>
    </row>
    <row r="85" spans="3:5" x14ac:dyDescent="0.25">
      <c r="C85" s="80"/>
      <c r="D85" s="31"/>
      <c r="E85" s="31"/>
    </row>
    <row r="86" spans="3:5" x14ac:dyDescent="0.25">
      <c r="C86" s="80"/>
      <c r="D86" s="31"/>
      <c r="E86" s="31"/>
    </row>
    <row r="87" spans="3:5" x14ac:dyDescent="0.25">
      <c r="C87" s="80"/>
      <c r="D87" s="31"/>
      <c r="E87" s="31"/>
    </row>
    <row r="88" spans="3:5" x14ac:dyDescent="0.25">
      <c r="C88" s="80"/>
      <c r="D88" s="31"/>
      <c r="E88" s="31"/>
    </row>
    <row r="89" spans="3:5" x14ac:dyDescent="0.25">
      <c r="C89" s="80"/>
      <c r="D89" s="31"/>
      <c r="E89" s="31"/>
    </row>
    <row r="90" spans="3:5" x14ac:dyDescent="0.25">
      <c r="C90" s="80"/>
      <c r="D90" s="31"/>
      <c r="E90" s="31"/>
    </row>
    <row r="91" spans="3:5" x14ac:dyDescent="0.25">
      <c r="C91" s="80"/>
      <c r="D91" s="31"/>
      <c r="E91" s="31"/>
    </row>
    <row r="92" spans="3:5" x14ac:dyDescent="0.25">
      <c r="C92" s="80"/>
      <c r="D92" s="31"/>
      <c r="E92" s="31"/>
    </row>
    <row r="93" spans="3:5" x14ac:dyDescent="0.25">
      <c r="C93" s="80"/>
      <c r="D93" s="31"/>
      <c r="E93" s="31"/>
    </row>
    <row r="94" spans="3:5" x14ac:dyDescent="0.25">
      <c r="C94" s="80"/>
      <c r="D94" s="31"/>
      <c r="E94" s="31"/>
    </row>
    <row r="95" spans="3:5" x14ac:dyDescent="0.25">
      <c r="C95" s="78"/>
      <c r="D95" s="78"/>
      <c r="E95" s="78"/>
    </row>
    <row r="96" spans="3:5" x14ac:dyDescent="0.25">
      <c r="C96" s="78"/>
      <c r="D96" s="78"/>
      <c r="E96" s="78"/>
    </row>
    <row r="97" spans="3:5" x14ac:dyDescent="0.25">
      <c r="C97" s="78"/>
      <c r="D97" s="78"/>
      <c r="E97" s="78"/>
    </row>
    <row r="98" spans="3:5" x14ac:dyDescent="0.25">
      <c r="C98" s="78"/>
      <c r="D98" s="78"/>
      <c r="E98" s="78"/>
    </row>
    <row r="99" spans="3:5" x14ac:dyDescent="0.25">
      <c r="C99" s="78"/>
      <c r="D99" s="78"/>
      <c r="E99" s="78"/>
    </row>
  </sheetData>
  <mergeCells count="7">
    <mergeCell ref="A38:D38"/>
    <mergeCell ref="B5:B6"/>
    <mergeCell ref="C5:C6"/>
    <mergeCell ref="D5:D6"/>
    <mergeCell ref="E5:E6"/>
    <mergeCell ref="A36:C36"/>
    <mergeCell ref="A37:D37"/>
  </mergeCells>
  <hyperlinks>
    <hyperlink ref="A1" location="Table_of_Contents!A1" display="Back to the table of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Table_of_Contents</vt:lpstr>
      <vt:lpstr>Monthly_Data</vt:lpstr>
      <vt:lpstr>Quarterly_Data</vt:lpstr>
      <vt:lpstr>Annually_Data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Computel</dc:creator>
  <cp:lastModifiedBy>GIRUKWAYO Goreth</cp:lastModifiedBy>
  <cp:lastPrinted>2014-05-27T09:21:07Z</cp:lastPrinted>
  <dcterms:created xsi:type="dcterms:W3CDTF">2000-08-22T08:22:24Z</dcterms:created>
  <dcterms:modified xsi:type="dcterms:W3CDTF">2021-03-24T07:33:23Z</dcterms:modified>
</cp:coreProperties>
</file>