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4\03\Anglais\"/>
    </mc:Choice>
  </mc:AlternateContent>
  <bookViews>
    <workbookView xWindow="0" yWindow="0" windowWidth="24000" windowHeight="9630" tabRatio="596" activeTab="1"/>
  </bookViews>
  <sheets>
    <sheet name="Table_of_Contents" sheetId="6" r:id="rId1"/>
    <sheet name="Monthly_Data" sheetId="3" r:id="rId2"/>
    <sheet name="Quarterly_Data" sheetId="4" r:id="rId3"/>
    <sheet name="Annually_Data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C33" i="5" l="1"/>
  <c r="D33" i="5"/>
  <c r="E33" i="5"/>
  <c r="F33" i="5"/>
  <c r="G33" i="5"/>
  <c r="H33" i="5"/>
  <c r="I33" i="5"/>
  <c r="J33" i="5"/>
  <c r="L33" i="5"/>
  <c r="B33" i="5"/>
  <c r="P92" i="4"/>
  <c r="P93" i="4"/>
  <c r="P94" i="4"/>
  <c r="P91" i="4"/>
  <c r="P260" i="3"/>
  <c r="P261" i="3"/>
  <c r="P262" i="3"/>
  <c r="P263" i="3"/>
  <c r="P264" i="3"/>
  <c r="P265" i="3"/>
  <c r="P266" i="3"/>
  <c r="P267" i="3"/>
  <c r="P268" i="3"/>
  <c r="P269" i="3"/>
  <c r="P270" i="3"/>
  <c r="P259" i="3"/>
  <c r="P33" i="5" l="1"/>
  <c r="C90" i="4"/>
  <c r="C32" i="5" s="1"/>
  <c r="D90" i="4"/>
  <c r="D32" i="5" s="1"/>
  <c r="E90" i="4"/>
  <c r="E32" i="5" s="1"/>
  <c r="F90" i="4"/>
  <c r="F32" i="5" s="1"/>
  <c r="G90" i="4"/>
  <c r="G32" i="5" s="1"/>
  <c r="H90" i="4"/>
  <c r="H32" i="5" s="1"/>
  <c r="I90" i="4"/>
  <c r="I32" i="5" s="1"/>
  <c r="J90" i="4"/>
  <c r="J32" i="5" s="1"/>
  <c r="L90" i="4"/>
  <c r="L32" i="5" s="1"/>
  <c r="P90" i="4"/>
  <c r="B90" i="4"/>
  <c r="B32" i="5" s="1"/>
  <c r="C85" i="4" l="1"/>
  <c r="D85" i="4"/>
  <c r="E85" i="4"/>
  <c r="F85" i="4"/>
  <c r="G85" i="4"/>
  <c r="H85" i="4"/>
  <c r="I85" i="4"/>
  <c r="J85" i="4"/>
  <c r="L85" i="4"/>
  <c r="P85" i="4"/>
  <c r="B85" i="4"/>
  <c r="P230" i="3"/>
  <c r="B7" i="4"/>
  <c r="C7" i="4"/>
  <c r="D7" i="4"/>
  <c r="B8" i="4"/>
  <c r="C8" i="4"/>
  <c r="D8" i="4"/>
  <c r="B9" i="4"/>
  <c r="C9" i="4"/>
  <c r="D9" i="4"/>
  <c r="B10" i="4"/>
  <c r="C10" i="4"/>
  <c r="D10" i="4"/>
  <c r="P229" i="3"/>
  <c r="P228" i="3"/>
  <c r="P227" i="3"/>
  <c r="P226" i="3"/>
  <c r="P225" i="3"/>
  <c r="P224" i="3"/>
  <c r="P223" i="3"/>
  <c r="P222" i="3"/>
  <c r="L221" i="3"/>
  <c r="P221" i="3" s="1"/>
  <c r="L220" i="3"/>
  <c r="P220" i="3" s="1"/>
  <c r="L219" i="3"/>
  <c r="P219" i="3" s="1"/>
  <c r="L218" i="3"/>
  <c r="P218" i="3" s="1"/>
  <c r="C12" i="5"/>
  <c r="D12" i="5"/>
  <c r="E12" i="5"/>
  <c r="G12" i="5"/>
  <c r="H12" i="5"/>
  <c r="I12" i="5"/>
  <c r="L12" i="5"/>
  <c r="C13" i="5"/>
  <c r="D13" i="5"/>
  <c r="E13" i="5"/>
  <c r="G13" i="5"/>
  <c r="H13" i="5"/>
  <c r="I13" i="5"/>
  <c r="L13" i="5"/>
  <c r="C14" i="5"/>
  <c r="D14" i="5"/>
  <c r="E14" i="5"/>
  <c r="G14" i="5"/>
  <c r="H14" i="5"/>
  <c r="I14" i="5"/>
  <c r="L14" i="5"/>
  <c r="C15" i="5"/>
  <c r="D15" i="5"/>
  <c r="E15" i="5"/>
  <c r="G15" i="5"/>
  <c r="H15" i="5"/>
  <c r="I15" i="5"/>
  <c r="L15" i="5"/>
  <c r="C16" i="5"/>
  <c r="D16" i="5"/>
  <c r="E16" i="5"/>
  <c r="G16" i="5"/>
  <c r="H16" i="5"/>
  <c r="I16" i="5"/>
  <c r="L16" i="5"/>
  <c r="C17" i="5"/>
  <c r="D17" i="5"/>
  <c r="E17" i="5"/>
  <c r="G17" i="5"/>
  <c r="H17" i="5"/>
  <c r="I17" i="5"/>
  <c r="L17" i="5"/>
  <c r="C18" i="5"/>
  <c r="D18" i="5"/>
  <c r="E18" i="5"/>
  <c r="G18" i="5"/>
  <c r="H18" i="5"/>
  <c r="I18" i="5"/>
  <c r="L18" i="5"/>
  <c r="C19" i="5"/>
  <c r="D19" i="5"/>
  <c r="E19" i="5"/>
  <c r="F19" i="5"/>
  <c r="G19" i="5"/>
  <c r="H19" i="5"/>
  <c r="I19" i="5"/>
  <c r="L19" i="5"/>
  <c r="C20" i="5"/>
  <c r="D20" i="5"/>
  <c r="E20" i="5"/>
  <c r="F20" i="5"/>
  <c r="G20" i="5"/>
  <c r="H20" i="5"/>
  <c r="I20" i="5"/>
  <c r="L20" i="5"/>
  <c r="C21" i="5"/>
  <c r="D21" i="5"/>
  <c r="E21" i="5"/>
  <c r="F21" i="5"/>
  <c r="G21" i="5"/>
  <c r="H21" i="5"/>
  <c r="I21" i="5"/>
  <c r="L21" i="5"/>
  <c r="C22" i="5"/>
  <c r="D22" i="5"/>
  <c r="E22" i="5"/>
  <c r="F22" i="5"/>
  <c r="G22" i="5"/>
  <c r="H22" i="5"/>
  <c r="I22" i="5"/>
  <c r="C23" i="5"/>
  <c r="D23" i="5"/>
  <c r="E23" i="5"/>
  <c r="F23" i="5"/>
  <c r="G23" i="5"/>
  <c r="H23" i="5"/>
  <c r="I23" i="5"/>
  <c r="C24" i="5"/>
  <c r="D24" i="5"/>
  <c r="E24" i="5"/>
  <c r="F24" i="5"/>
  <c r="G24" i="5"/>
  <c r="H24" i="5"/>
  <c r="I24" i="5"/>
  <c r="L24" i="5"/>
  <c r="C25" i="5"/>
  <c r="D25" i="5"/>
  <c r="E25" i="5"/>
  <c r="F25" i="5"/>
  <c r="G25" i="5"/>
  <c r="H25" i="5"/>
  <c r="I25" i="5"/>
  <c r="C26" i="5"/>
  <c r="D26" i="5"/>
  <c r="E26" i="5"/>
  <c r="F26" i="5"/>
  <c r="G26" i="5"/>
  <c r="H26" i="5"/>
  <c r="I26" i="5"/>
  <c r="C27" i="5"/>
  <c r="D27" i="5"/>
  <c r="E27" i="5"/>
  <c r="F27" i="5"/>
  <c r="G27" i="5"/>
  <c r="H27" i="5"/>
  <c r="I27" i="5"/>
  <c r="C28" i="5"/>
  <c r="D28" i="5"/>
  <c r="E28" i="5"/>
  <c r="F28" i="5"/>
  <c r="G28" i="5"/>
  <c r="H28" i="5"/>
  <c r="I28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P11" i="5"/>
  <c r="P10" i="5"/>
  <c r="P9" i="5"/>
  <c r="P8" i="5"/>
  <c r="P7" i="5"/>
  <c r="E7" i="4"/>
  <c r="F7" i="4"/>
  <c r="G7" i="4"/>
  <c r="H7" i="4"/>
  <c r="I7" i="4"/>
  <c r="L7" i="4"/>
  <c r="E8" i="4"/>
  <c r="G8" i="4"/>
  <c r="H8" i="4"/>
  <c r="I8" i="4"/>
  <c r="L8" i="4"/>
  <c r="E9" i="4"/>
  <c r="G9" i="4"/>
  <c r="H9" i="4"/>
  <c r="I9" i="4"/>
  <c r="L9" i="4"/>
  <c r="E10" i="4"/>
  <c r="G10" i="4"/>
  <c r="H10" i="4"/>
  <c r="I10" i="4"/>
  <c r="L10" i="4"/>
  <c r="C11" i="4"/>
  <c r="D11" i="4"/>
  <c r="E11" i="4"/>
  <c r="G11" i="4"/>
  <c r="H11" i="4"/>
  <c r="I11" i="4"/>
  <c r="L11" i="4"/>
  <c r="C12" i="4"/>
  <c r="D12" i="4"/>
  <c r="E12" i="4"/>
  <c r="F12" i="4"/>
  <c r="G12" i="4"/>
  <c r="H12" i="4"/>
  <c r="I12" i="4"/>
  <c r="L12" i="4"/>
  <c r="C13" i="4"/>
  <c r="D13" i="4"/>
  <c r="E13" i="4"/>
  <c r="G13" i="4"/>
  <c r="H13" i="4"/>
  <c r="I13" i="4"/>
  <c r="L13" i="4"/>
  <c r="C14" i="4"/>
  <c r="D14" i="4"/>
  <c r="E14" i="4"/>
  <c r="G14" i="4"/>
  <c r="H14" i="4"/>
  <c r="I14" i="4"/>
  <c r="L14" i="4"/>
  <c r="C15" i="4"/>
  <c r="D15" i="4"/>
  <c r="E15" i="4"/>
  <c r="G15" i="4"/>
  <c r="H15" i="4"/>
  <c r="I15" i="4"/>
  <c r="L15" i="4"/>
  <c r="C16" i="4"/>
  <c r="D16" i="4"/>
  <c r="E16" i="4"/>
  <c r="F16" i="4"/>
  <c r="G16" i="4"/>
  <c r="H16" i="4"/>
  <c r="I16" i="4"/>
  <c r="L16" i="4"/>
  <c r="C17" i="4"/>
  <c r="D17" i="4"/>
  <c r="E17" i="4"/>
  <c r="F17" i="4"/>
  <c r="G17" i="4"/>
  <c r="H17" i="4"/>
  <c r="I17" i="4"/>
  <c r="L17" i="4"/>
  <c r="C18" i="4"/>
  <c r="D18" i="4"/>
  <c r="E18" i="4"/>
  <c r="F18" i="4"/>
  <c r="G18" i="4"/>
  <c r="H18" i="4"/>
  <c r="I18" i="4"/>
  <c r="L18" i="4"/>
  <c r="C19" i="4"/>
  <c r="D19" i="4"/>
  <c r="E19" i="4"/>
  <c r="G19" i="4"/>
  <c r="H19" i="4"/>
  <c r="I19" i="4"/>
  <c r="L19" i="4"/>
  <c r="C20" i="4"/>
  <c r="D20" i="4"/>
  <c r="E20" i="4"/>
  <c r="G20" i="4"/>
  <c r="H20" i="4"/>
  <c r="I20" i="4"/>
  <c r="L20" i="4"/>
  <c r="C21" i="4"/>
  <c r="D21" i="4"/>
  <c r="E21" i="4"/>
  <c r="G21" i="4"/>
  <c r="H21" i="4"/>
  <c r="I21" i="4"/>
  <c r="L21" i="4"/>
  <c r="C22" i="4"/>
  <c r="D22" i="4"/>
  <c r="E22" i="4"/>
  <c r="G22" i="4"/>
  <c r="H22" i="4"/>
  <c r="I22" i="4"/>
  <c r="L22" i="4"/>
  <c r="C23" i="4"/>
  <c r="D23" i="4"/>
  <c r="E23" i="4"/>
  <c r="G23" i="4"/>
  <c r="H23" i="4"/>
  <c r="I23" i="4"/>
  <c r="L23" i="4"/>
  <c r="C24" i="4"/>
  <c r="D24" i="4"/>
  <c r="E24" i="4"/>
  <c r="G24" i="4"/>
  <c r="H24" i="4"/>
  <c r="I24" i="4"/>
  <c r="L24" i="4"/>
  <c r="C25" i="4"/>
  <c r="D25" i="4"/>
  <c r="E25" i="4"/>
  <c r="G25" i="4"/>
  <c r="H25" i="4"/>
  <c r="I25" i="4"/>
  <c r="L25" i="4"/>
  <c r="C26" i="4"/>
  <c r="D26" i="4"/>
  <c r="E26" i="4"/>
  <c r="G26" i="4"/>
  <c r="H26" i="4"/>
  <c r="I26" i="4"/>
  <c r="L26" i="4"/>
  <c r="C27" i="4"/>
  <c r="D27" i="4"/>
  <c r="E27" i="4"/>
  <c r="G27" i="4"/>
  <c r="H27" i="4"/>
  <c r="I27" i="4"/>
  <c r="L27" i="4"/>
  <c r="C28" i="4"/>
  <c r="D28" i="4"/>
  <c r="E28" i="4"/>
  <c r="G28" i="4"/>
  <c r="H28" i="4"/>
  <c r="I28" i="4"/>
  <c r="L28" i="4"/>
  <c r="C29" i="4"/>
  <c r="D29" i="4"/>
  <c r="E29" i="4"/>
  <c r="G29" i="4"/>
  <c r="H29" i="4"/>
  <c r="I29" i="4"/>
  <c r="L29" i="4"/>
  <c r="C30" i="4"/>
  <c r="D30" i="4"/>
  <c r="E30" i="4"/>
  <c r="G30" i="4"/>
  <c r="H30" i="4"/>
  <c r="I30" i="4"/>
  <c r="L30" i="4"/>
  <c r="C31" i="4"/>
  <c r="D31" i="4"/>
  <c r="E31" i="4"/>
  <c r="G31" i="4"/>
  <c r="H31" i="4"/>
  <c r="I31" i="4"/>
  <c r="L31" i="4"/>
  <c r="C32" i="4"/>
  <c r="D32" i="4"/>
  <c r="E32" i="4"/>
  <c r="G32" i="4"/>
  <c r="H32" i="4"/>
  <c r="I32" i="4"/>
  <c r="L32" i="4"/>
  <c r="C33" i="4"/>
  <c r="D33" i="4"/>
  <c r="E33" i="4"/>
  <c r="F33" i="4"/>
  <c r="G33" i="4"/>
  <c r="H33" i="4"/>
  <c r="I33" i="4"/>
  <c r="L33" i="4"/>
  <c r="C34" i="4"/>
  <c r="D34" i="4"/>
  <c r="E34" i="4"/>
  <c r="G34" i="4"/>
  <c r="H34" i="4"/>
  <c r="I34" i="4"/>
  <c r="L34" i="4"/>
  <c r="C35" i="4"/>
  <c r="D35" i="4"/>
  <c r="E35" i="4"/>
  <c r="F35" i="4"/>
  <c r="G35" i="4"/>
  <c r="H35" i="4"/>
  <c r="I35" i="4"/>
  <c r="L35" i="4"/>
  <c r="C36" i="4"/>
  <c r="D36" i="4"/>
  <c r="E36" i="4"/>
  <c r="F36" i="4"/>
  <c r="G36" i="4"/>
  <c r="H36" i="4"/>
  <c r="I36" i="4"/>
  <c r="L36" i="4"/>
  <c r="C37" i="4"/>
  <c r="D37" i="4"/>
  <c r="E37" i="4"/>
  <c r="F37" i="4"/>
  <c r="G37" i="4"/>
  <c r="H37" i="4"/>
  <c r="I37" i="4"/>
  <c r="L37" i="4"/>
  <c r="C38" i="4"/>
  <c r="D38" i="4"/>
  <c r="E38" i="4"/>
  <c r="F38" i="4"/>
  <c r="G38" i="4"/>
  <c r="H38" i="4"/>
  <c r="I38" i="4"/>
  <c r="L38" i="4"/>
  <c r="C39" i="4"/>
  <c r="D39" i="4"/>
  <c r="E39" i="4"/>
  <c r="F39" i="4"/>
  <c r="G39" i="4"/>
  <c r="H39" i="4"/>
  <c r="I39" i="4"/>
  <c r="L39" i="4"/>
  <c r="C40" i="4"/>
  <c r="D40" i="4"/>
  <c r="E40" i="4"/>
  <c r="F40" i="4"/>
  <c r="G40" i="4"/>
  <c r="H40" i="4"/>
  <c r="I40" i="4"/>
  <c r="L40" i="4"/>
  <c r="C41" i="4"/>
  <c r="D41" i="4"/>
  <c r="E41" i="4"/>
  <c r="F41" i="4"/>
  <c r="G41" i="4"/>
  <c r="H41" i="4"/>
  <c r="I41" i="4"/>
  <c r="L41" i="4"/>
  <c r="C42" i="4"/>
  <c r="D42" i="4"/>
  <c r="E42" i="4"/>
  <c r="F42" i="4"/>
  <c r="G42" i="4"/>
  <c r="H42" i="4"/>
  <c r="I42" i="4"/>
  <c r="L42" i="4"/>
  <c r="C43" i="4"/>
  <c r="D43" i="4"/>
  <c r="E43" i="4"/>
  <c r="F43" i="4"/>
  <c r="G43" i="4"/>
  <c r="H43" i="4"/>
  <c r="I43" i="4"/>
  <c r="L43" i="4"/>
  <c r="C44" i="4"/>
  <c r="D44" i="4"/>
  <c r="E44" i="4"/>
  <c r="F44" i="4"/>
  <c r="G44" i="4"/>
  <c r="H44" i="4"/>
  <c r="I44" i="4"/>
  <c r="L44" i="4"/>
  <c r="C45" i="4"/>
  <c r="D45" i="4"/>
  <c r="E45" i="4"/>
  <c r="F45" i="4"/>
  <c r="G45" i="4"/>
  <c r="H45" i="4"/>
  <c r="I45" i="4"/>
  <c r="L45" i="4"/>
  <c r="C46" i="4"/>
  <c r="D46" i="4"/>
  <c r="E46" i="4"/>
  <c r="F46" i="4"/>
  <c r="G46" i="4"/>
  <c r="H46" i="4"/>
  <c r="I46" i="4"/>
  <c r="L46" i="4"/>
  <c r="C47" i="4"/>
  <c r="D47" i="4"/>
  <c r="E47" i="4"/>
  <c r="F47" i="4"/>
  <c r="G47" i="4"/>
  <c r="H47" i="4"/>
  <c r="I47" i="4"/>
  <c r="L47" i="4"/>
  <c r="C48" i="4"/>
  <c r="D48" i="4"/>
  <c r="E48" i="4"/>
  <c r="F48" i="4"/>
  <c r="G48" i="4"/>
  <c r="H48" i="4"/>
  <c r="I48" i="4"/>
  <c r="L48" i="4"/>
  <c r="C49" i="4"/>
  <c r="D49" i="4"/>
  <c r="E49" i="4"/>
  <c r="F49" i="4"/>
  <c r="G49" i="4"/>
  <c r="H49" i="4"/>
  <c r="I49" i="4"/>
  <c r="C50" i="4"/>
  <c r="D50" i="4"/>
  <c r="E50" i="4"/>
  <c r="F50" i="4"/>
  <c r="G50" i="4"/>
  <c r="H50" i="4"/>
  <c r="I50" i="4"/>
  <c r="C51" i="4"/>
  <c r="D51" i="4"/>
  <c r="E51" i="4"/>
  <c r="F51" i="4"/>
  <c r="G51" i="4"/>
  <c r="H51" i="4"/>
  <c r="I51" i="4"/>
  <c r="C52" i="4"/>
  <c r="D52" i="4"/>
  <c r="E52" i="4"/>
  <c r="F52" i="4"/>
  <c r="G52" i="4"/>
  <c r="H52" i="4"/>
  <c r="I52" i="4"/>
  <c r="C53" i="4"/>
  <c r="D53" i="4"/>
  <c r="E53" i="4"/>
  <c r="F53" i="4"/>
  <c r="G53" i="4"/>
  <c r="H53" i="4"/>
  <c r="I53" i="4"/>
  <c r="L53" i="4"/>
  <c r="C54" i="4"/>
  <c r="D54" i="4"/>
  <c r="E54" i="4"/>
  <c r="F54" i="4"/>
  <c r="G54" i="4"/>
  <c r="H54" i="4"/>
  <c r="I54" i="4"/>
  <c r="L54" i="4"/>
  <c r="C55" i="4"/>
  <c r="D55" i="4"/>
  <c r="E55" i="4"/>
  <c r="F55" i="4"/>
  <c r="G55" i="4"/>
  <c r="H55" i="4"/>
  <c r="I55" i="4"/>
  <c r="L55" i="4"/>
  <c r="C56" i="4"/>
  <c r="D56" i="4"/>
  <c r="E56" i="4"/>
  <c r="F56" i="4"/>
  <c r="G56" i="4"/>
  <c r="H56" i="4"/>
  <c r="I56" i="4"/>
  <c r="L56" i="4"/>
  <c r="C57" i="4"/>
  <c r="D57" i="4"/>
  <c r="E57" i="4"/>
  <c r="F57" i="4"/>
  <c r="G57" i="4"/>
  <c r="H57" i="4"/>
  <c r="I57" i="4"/>
  <c r="L57" i="4"/>
  <c r="C58" i="4"/>
  <c r="D58" i="4"/>
  <c r="E58" i="4"/>
  <c r="F58" i="4"/>
  <c r="G58" i="4"/>
  <c r="H58" i="4"/>
  <c r="I58" i="4"/>
  <c r="L58" i="4"/>
  <c r="C59" i="4"/>
  <c r="D59" i="4"/>
  <c r="E59" i="4"/>
  <c r="F59" i="4"/>
  <c r="G59" i="4"/>
  <c r="H59" i="4"/>
  <c r="I59" i="4"/>
  <c r="L59" i="4"/>
  <c r="C60" i="4"/>
  <c r="D60" i="4"/>
  <c r="E60" i="4"/>
  <c r="F60" i="4"/>
  <c r="G60" i="4"/>
  <c r="H60" i="4"/>
  <c r="I60" i="4"/>
  <c r="C61" i="4"/>
  <c r="D61" i="4"/>
  <c r="E61" i="4"/>
  <c r="F61" i="4"/>
  <c r="G61" i="4"/>
  <c r="H61" i="4"/>
  <c r="I61" i="4"/>
  <c r="C62" i="4"/>
  <c r="D62" i="4"/>
  <c r="E62" i="4"/>
  <c r="F62" i="4"/>
  <c r="G62" i="4"/>
  <c r="H62" i="4"/>
  <c r="I62" i="4"/>
  <c r="C63" i="4"/>
  <c r="D63" i="4"/>
  <c r="E63" i="4"/>
  <c r="F63" i="4"/>
  <c r="G63" i="4"/>
  <c r="H63" i="4"/>
  <c r="I63" i="4"/>
  <c r="C64" i="4"/>
  <c r="D64" i="4"/>
  <c r="E64" i="4"/>
  <c r="F64" i="4"/>
  <c r="G64" i="4"/>
  <c r="H64" i="4"/>
  <c r="I64" i="4"/>
  <c r="C65" i="4"/>
  <c r="D65" i="4"/>
  <c r="E65" i="4"/>
  <c r="F65" i="4"/>
  <c r="G65" i="4"/>
  <c r="H65" i="4"/>
  <c r="I65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L68" i="4"/>
  <c r="C69" i="4"/>
  <c r="D69" i="4"/>
  <c r="E69" i="4"/>
  <c r="F69" i="4"/>
  <c r="G69" i="4"/>
  <c r="H69" i="4"/>
  <c r="I69" i="4"/>
  <c r="C70" i="4"/>
  <c r="D70" i="4"/>
  <c r="E70" i="4"/>
  <c r="F70" i="4"/>
  <c r="G70" i="4"/>
  <c r="H70" i="4"/>
  <c r="I70" i="4"/>
  <c r="C71" i="4"/>
  <c r="D71" i="4"/>
  <c r="E71" i="4"/>
  <c r="F71" i="4"/>
  <c r="G71" i="4"/>
  <c r="H71" i="4"/>
  <c r="I71" i="4"/>
  <c r="C72" i="4"/>
  <c r="D72" i="4"/>
  <c r="E72" i="4"/>
  <c r="F72" i="4"/>
  <c r="G72" i="4"/>
  <c r="H72" i="4"/>
  <c r="I72" i="4"/>
  <c r="C73" i="4"/>
  <c r="D73" i="4"/>
  <c r="E73" i="4"/>
  <c r="F73" i="4"/>
  <c r="G73" i="4"/>
  <c r="H73" i="4"/>
  <c r="I73" i="4"/>
  <c r="C74" i="4"/>
  <c r="D74" i="4"/>
  <c r="E74" i="4"/>
  <c r="F74" i="4"/>
  <c r="G74" i="4"/>
  <c r="H74" i="4"/>
  <c r="I74" i="4"/>
  <c r="C75" i="4"/>
  <c r="D75" i="4"/>
  <c r="E75" i="4"/>
  <c r="F75" i="4"/>
  <c r="G75" i="4"/>
  <c r="H75" i="4"/>
  <c r="I75" i="4"/>
  <c r="C76" i="4"/>
  <c r="D76" i="4"/>
  <c r="E76" i="4"/>
  <c r="F76" i="4"/>
  <c r="G76" i="4"/>
  <c r="H76" i="4"/>
  <c r="I76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6" i="4"/>
  <c r="B57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AQ72" i="4"/>
  <c r="L217" i="3"/>
  <c r="P217" i="3" s="1"/>
  <c r="L216" i="3"/>
  <c r="P216" i="3" s="1"/>
  <c r="L215" i="3"/>
  <c r="L214" i="3"/>
  <c r="P214" i="3" s="1"/>
  <c r="L213" i="3"/>
  <c r="P213" i="3" s="1"/>
  <c r="L212" i="3"/>
  <c r="P212" i="3" s="1"/>
  <c r="L211" i="3"/>
  <c r="P211" i="3" s="1"/>
  <c r="L210" i="3"/>
  <c r="P210" i="3" s="1"/>
  <c r="L209" i="3"/>
  <c r="P209" i="3" s="1"/>
  <c r="L208" i="3"/>
  <c r="P208" i="3" s="1"/>
  <c r="L207" i="3"/>
  <c r="P207" i="3" s="1"/>
  <c r="L206" i="3"/>
  <c r="P206" i="3" s="1"/>
  <c r="L205" i="3"/>
  <c r="P205" i="3" s="1"/>
  <c r="L204" i="3"/>
  <c r="P204" i="3" s="1"/>
  <c r="L203" i="3"/>
  <c r="L202" i="3"/>
  <c r="P202" i="3" s="1"/>
  <c r="L201" i="3"/>
  <c r="P201" i="3" s="1"/>
  <c r="L200" i="3"/>
  <c r="P200" i="3" s="1"/>
  <c r="L199" i="3"/>
  <c r="P199" i="3" s="1"/>
  <c r="L198" i="3"/>
  <c r="P198" i="3" s="1"/>
  <c r="L197" i="3"/>
  <c r="P197" i="3" s="1"/>
  <c r="L196" i="3"/>
  <c r="P196" i="3" s="1"/>
  <c r="L195" i="3"/>
  <c r="P195" i="3" s="1"/>
  <c r="L194" i="3"/>
  <c r="L193" i="3"/>
  <c r="P193" i="3" s="1"/>
  <c r="P192" i="3"/>
  <c r="P191" i="3"/>
  <c r="P190" i="3"/>
  <c r="L189" i="3"/>
  <c r="P189" i="3" s="1"/>
  <c r="L188" i="3"/>
  <c r="L187" i="3"/>
  <c r="L186" i="3"/>
  <c r="P186" i="3" s="1"/>
  <c r="L185" i="3"/>
  <c r="P185" i="3" s="1"/>
  <c r="L184" i="3"/>
  <c r="L183" i="3"/>
  <c r="P183" i="3" s="1"/>
  <c r="L182" i="3"/>
  <c r="P182" i="3" s="1"/>
  <c r="L181" i="3"/>
  <c r="P181" i="3" s="1"/>
  <c r="L180" i="3"/>
  <c r="P180" i="3" s="1"/>
  <c r="L179" i="3"/>
  <c r="P179" i="3" s="1"/>
  <c r="L178" i="3"/>
  <c r="P178" i="3" s="1"/>
  <c r="L177" i="3"/>
  <c r="P177" i="3" s="1"/>
  <c r="L176" i="3"/>
  <c r="L175" i="3"/>
  <c r="P175" i="3" s="1"/>
  <c r="L174" i="3"/>
  <c r="P174" i="3" s="1"/>
  <c r="L173" i="3"/>
  <c r="P173" i="3" s="1"/>
  <c r="L172" i="3"/>
  <c r="P172" i="3" s="1"/>
  <c r="L171" i="3"/>
  <c r="P171" i="3" s="1"/>
  <c r="L170" i="3"/>
  <c r="P170" i="3" s="1"/>
  <c r="L169" i="3"/>
  <c r="P169" i="3" s="1"/>
  <c r="L168" i="3"/>
  <c r="P168" i="3" s="1"/>
  <c r="L167" i="3"/>
  <c r="P167" i="3" s="1"/>
  <c r="L166" i="3"/>
  <c r="P166" i="3" s="1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L142" i="3"/>
  <c r="L52" i="4" s="1"/>
  <c r="L141" i="3"/>
  <c r="P141" i="3" s="1"/>
  <c r="L140" i="3"/>
  <c r="P140" i="3" s="1"/>
  <c r="L139" i="3"/>
  <c r="L138" i="3"/>
  <c r="P138" i="3" s="1"/>
  <c r="L137" i="3"/>
  <c r="P137" i="3" s="1"/>
  <c r="L136" i="3"/>
  <c r="L135" i="3"/>
  <c r="P135" i="3" s="1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F89" i="3"/>
  <c r="P89" i="3" s="1"/>
  <c r="P88" i="3"/>
  <c r="P87" i="3"/>
  <c r="P86" i="3"/>
  <c r="P85" i="3"/>
  <c r="P84" i="3"/>
  <c r="P83" i="3"/>
  <c r="F82" i="3"/>
  <c r="F32" i="4" s="1"/>
  <c r="F81" i="3"/>
  <c r="P81" i="3" s="1"/>
  <c r="F80" i="3"/>
  <c r="P80" i="3" s="1"/>
  <c r="F79" i="3"/>
  <c r="P79" i="3" s="1"/>
  <c r="F78" i="3"/>
  <c r="P78" i="3" s="1"/>
  <c r="F77" i="3"/>
  <c r="P77" i="3" s="1"/>
  <c r="F76" i="3"/>
  <c r="P76" i="3" s="1"/>
  <c r="F75" i="3"/>
  <c r="P75" i="3" s="1"/>
  <c r="F74" i="3"/>
  <c r="P74" i="3" s="1"/>
  <c r="F73" i="3"/>
  <c r="P73" i="3" s="1"/>
  <c r="AO72" i="3"/>
  <c r="F72" i="3"/>
  <c r="P72" i="3" s="1"/>
  <c r="F71" i="3"/>
  <c r="P71" i="3" s="1"/>
  <c r="F70" i="3"/>
  <c r="P70" i="3" s="1"/>
  <c r="F69" i="3"/>
  <c r="P69" i="3" s="1"/>
  <c r="F68" i="3"/>
  <c r="P68" i="3" s="1"/>
  <c r="F67" i="3"/>
  <c r="F66" i="3"/>
  <c r="P66" i="3" s="1"/>
  <c r="F65" i="3"/>
  <c r="F64" i="3"/>
  <c r="P64" i="3" s="1"/>
  <c r="P63" i="3"/>
  <c r="F62" i="3"/>
  <c r="P62" i="3" s="1"/>
  <c r="F61" i="3"/>
  <c r="P61" i="3" s="1"/>
  <c r="F60" i="3"/>
  <c r="P60" i="3" s="1"/>
  <c r="F59" i="3"/>
  <c r="P59" i="3" s="1"/>
  <c r="F58" i="3"/>
  <c r="P58" i="3" s="1"/>
  <c r="F57" i="3"/>
  <c r="P57" i="3" s="1"/>
  <c r="F56" i="3"/>
  <c r="P56" i="3" s="1"/>
  <c r="F55" i="3"/>
  <c r="P55" i="3" s="1"/>
  <c r="P42" i="3"/>
  <c r="P41" i="3"/>
  <c r="P40" i="3"/>
  <c r="P39" i="3"/>
  <c r="P38" i="3"/>
  <c r="P37" i="3"/>
  <c r="P36" i="3"/>
  <c r="P35" i="3"/>
  <c r="P34" i="3"/>
  <c r="P33" i="3"/>
  <c r="P32" i="3"/>
  <c r="F31" i="3"/>
  <c r="P31" i="3" s="1"/>
  <c r="F54" i="3"/>
  <c r="P54" i="3" s="1"/>
  <c r="F53" i="3"/>
  <c r="P53" i="3" s="1"/>
  <c r="F52" i="3"/>
  <c r="P52" i="3" s="1"/>
  <c r="F51" i="3"/>
  <c r="P51" i="3" s="1"/>
  <c r="F50" i="3"/>
  <c r="P50" i="3" s="1"/>
  <c r="F49" i="3"/>
  <c r="P49" i="3" s="1"/>
  <c r="F48" i="3"/>
  <c r="P48" i="3" s="1"/>
  <c r="F47" i="3"/>
  <c r="P47" i="3" s="1"/>
  <c r="F46" i="3"/>
  <c r="P46" i="3" s="1"/>
  <c r="F45" i="3"/>
  <c r="P45" i="3" s="1"/>
  <c r="F44" i="3"/>
  <c r="P44" i="3" s="1"/>
  <c r="F43" i="3"/>
  <c r="P43" i="3" s="1"/>
  <c r="F30" i="3"/>
  <c r="P30" i="3" s="1"/>
  <c r="F29" i="3"/>
  <c r="P28" i="3"/>
  <c r="F27" i="3"/>
  <c r="P27" i="3" s="1"/>
  <c r="F26" i="3"/>
  <c r="P26" i="3" s="1"/>
  <c r="P25" i="3"/>
  <c r="P24" i="3"/>
  <c r="P23" i="3"/>
  <c r="P22" i="3"/>
  <c r="F21" i="3"/>
  <c r="P21" i="3" s="1"/>
  <c r="P20" i="3"/>
  <c r="F19" i="3"/>
  <c r="P19" i="3" s="1"/>
  <c r="F18" i="3"/>
  <c r="P18" i="3" s="1"/>
  <c r="F17" i="3"/>
  <c r="P17" i="3" s="1"/>
  <c r="F16" i="3"/>
  <c r="P16" i="3" s="1"/>
  <c r="F15" i="3"/>
  <c r="P15" i="3" s="1"/>
  <c r="F14" i="3"/>
  <c r="P14" i="3" s="1"/>
  <c r="P13" i="3"/>
  <c r="P12" i="3"/>
  <c r="P11" i="3"/>
  <c r="F10" i="3"/>
  <c r="P10" i="3" s="1"/>
  <c r="P9" i="3"/>
  <c r="P8" i="3"/>
  <c r="P7" i="3"/>
  <c r="P187" i="3"/>
  <c r="L49" i="4" l="1"/>
  <c r="L67" i="4"/>
  <c r="F11" i="4"/>
  <c r="F8" i="4"/>
  <c r="P56" i="4"/>
  <c r="P39" i="4"/>
  <c r="P42" i="4"/>
  <c r="P55" i="4"/>
  <c r="P59" i="4"/>
  <c r="L63" i="4"/>
  <c r="F29" i="4"/>
  <c r="L51" i="4"/>
  <c r="L76" i="4"/>
  <c r="L74" i="4"/>
  <c r="L69" i="4"/>
  <c r="P41" i="4"/>
  <c r="L50" i="4"/>
  <c r="P58" i="4"/>
  <c r="P64" i="4"/>
  <c r="L70" i="4"/>
  <c r="F21" i="4"/>
  <c r="F13" i="4"/>
  <c r="F25" i="4"/>
  <c r="P25" i="4"/>
  <c r="P40" i="4"/>
  <c r="P48" i="4"/>
  <c r="P176" i="3"/>
  <c r="P63" i="4" s="1"/>
  <c r="L27" i="5"/>
  <c r="P194" i="3"/>
  <c r="P69" i="4" s="1"/>
  <c r="F9" i="4"/>
  <c r="P75" i="4"/>
  <c r="L73" i="4"/>
  <c r="P14" i="5"/>
  <c r="P54" i="4"/>
  <c r="L66" i="4"/>
  <c r="P68" i="4"/>
  <c r="P70" i="4"/>
  <c r="F28" i="4"/>
  <c r="P139" i="3"/>
  <c r="P51" i="4" s="1"/>
  <c r="F20" i="4"/>
  <c r="P18" i="4"/>
  <c r="P57" i="4"/>
  <c r="P215" i="3"/>
  <c r="P76" i="4" s="1"/>
  <c r="P34" i="4"/>
  <c r="P37" i="4"/>
  <c r="L72" i="4"/>
  <c r="P29" i="4"/>
  <c r="P24" i="4"/>
  <c r="P20" i="4"/>
  <c r="P12" i="4"/>
  <c r="F13" i="5"/>
  <c r="P22" i="4"/>
  <c r="P16" i="4"/>
  <c r="P21" i="5"/>
  <c r="P8" i="4"/>
  <c r="F27" i="4"/>
  <c r="P30" i="4"/>
  <c r="P47" i="4"/>
  <c r="L75" i="4"/>
  <c r="L22" i="5"/>
  <c r="P21" i="4"/>
  <c r="P35" i="4"/>
  <c r="P53" i="4"/>
  <c r="P62" i="4"/>
  <c r="P184" i="3"/>
  <c r="P66" i="4" s="1"/>
  <c r="P74" i="4"/>
  <c r="F10" i="4"/>
  <c r="F15" i="4"/>
  <c r="P10" i="4"/>
  <c r="F14" i="5"/>
  <c r="P19" i="5"/>
  <c r="P38" i="4"/>
  <c r="P20" i="5"/>
  <c r="P45" i="4"/>
  <c r="P136" i="3"/>
  <c r="P50" i="4" s="1"/>
  <c r="P188" i="3"/>
  <c r="P67" i="4" s="1"/>
  <c r="P203" i="3"/>
  <c r="P72" i="4" s="1"/>
  <c r="P9" i="4"/>
  <c r="P33" i="4"/>
  <c r="P36" i="4"/>
  <c r="P43" i="4"/>
  <c r="P7" i="4"/>
  <c r="P13" i="4"/>
  <c r="P15" i="4"/>
  <c r="P46" i="4"/>
  <c r="P24" i="5"/>
  <c r="F12" i="5"/>
  <c r="P17" i="4"/>
  <c r="F26" i="4"/>
  <c r="P82" i="3"/>
  <c r="P32" i="4" s="1"/>
  <c r="F34" i="4"/>
  <c r="P49" i="4"/>
  <c r="P31" i="4"/>
  <c r="P25" i="5"/>
  <c r="P60" i="4"/>
  <c r="P15" i="5"/>
  <c r="P19" i="4"/>
  <c r="P23" i="4"/>
  <c r="P28" i="4"/>
  <c r="P71" i="4"/>
  <c r="P11" i="4"/>
  <c r="P61" i="4"/>
  <c r="P65" i="4"/>
  <c r="P73" i="4"/>
  <c r="P12" i="5"/>
  <c r="L62" i="4"/>
  <c r="L71" i="4"/>
  <c r="P29" i="3"/>
  <c r="P13" i="5" s="1"/>
  <c r="F14" i="4"/>
  <c r="P44" i="4"/>
  <c r="F31" i="4"/>
  <c r="F15" i="5"/>
  <c r="L64" i="4"/>
  <c r="F17" i="5"/>
  <c r="P142" i="3"/>
  <c r="P52" i="4" s="1"/>
  <c r="P67" i="3"/>
  <c r="L23" i="5"/>
  <c r="L26" i="5"/>
  <c r="F23" i="4"/>
  <c r="F18" i="5"/>
  <c r="L25" i="5"/>
  <c r="F22" i="4"/>
  <c r="L60" i="4"/>
  <c r="L28" i="5"/>
  <c r="L65" i="4"/>
  <c r="F24" i="4"/>
  <c r="L61" i="4"/>
  <c r="P65" i="3"/>
  <c r="P26" i="4" s="1"/>
  <c r="F30" i="4"/>
  <c r="F16" i="5"/>
  <c r="F19" i="4"/>
  <c r="P27" i="5" l="1"/>
  <c r="P26" i="5"/>
  <c r="P18" i="5"/>
  <c r="P28" i="5"/>
  <c r="P22" i="5"/>
  <c r="P16" i="5"/>
  <c r="P14" i="4"/>
  <c r="P27" i="4"/>
  <c r="P17" i="5"/>
  <c r="P23" i="5"/>
</calcChain>
</file>

<file path=xl/sharedStrings.xml><?xml version="1.0" encoding="utf-8"?>
<sst xmlns="http://schemas.openxmlformats.org/spreadsheetml/2006/main" count="202" uniqueCount="79">
  <si>
    <t>MUGERE</t>
  </si>
  <si>
    <t>RWEGURA</t>
  </si>
  <si>
    <t xml:space="preserve">  RUVYIRONZA</t>
  </si>
  <si>
    <t>GIKONGE</t>
  </si>
  <si>
    <t>NYEMANGA</t>
  </si>
  <si>
    <t xml:space="preserve"> MARANGARA</t>
  </si>
  <si>
    <t>TOTAL</t>
  </si>
  <si>
    <t>1995</t>
  </si>
  <si>
    <t>1996 *</t>
  </si>
  <si>
    <t>1998</t>
  </si>
  <si>
    <t>1999</t>
  </si>
  <si>
    <t>2000</t>
  </si>
  <si>
    <t xml:space="preserve">      Source: REGIDESO</t>
  </si>
  <si>
    <t>2001</t>
  </si>
  <si>
    <t xml:space="preserve">                    -</t>
  </si>
  <si>
    <t>2002</t>
  </si>
  <si>
    <t>2003</t>
  </si>
  <si>
    <t>-</t>
  </si>
  <si>
    <t>2004</t>
  </si>
  <si>
    <t xml:space="preserve">  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</si>
  <si>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</si>
  <si>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</si>
  <si>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</si>
  <si>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</si>
  <si>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</si>
  <si>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</si>
  <si>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</si>
  <si>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</si>
  <si>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</si>
  <si>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</si>
  <si>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</si>
  <si>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</si>
  <si>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</si>
  <si>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</si>
  <si>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KAYENZI</t>
  </si>
  <si>
    <t xml:space="preserve">                     -</t>
  </si>
  <si>
    <t>I.7</t>
  </si>
  <si>
    <t>BUHIGA</t>
  </si>
  <si>
    <t xml:space="preserve">                     </t>
  </si>
  <si>
    <t>Excel File Name:</t>
  </si>
  <si>
    <t>Available from Web Page:</t>
  </si>
  <si>
    <t>http://www.brb.bi/fr/content/secteur-r%C3%A9el</t>
  </si>
  <si>
    <t>NYAMYOTSI</t>
  </si>
  <si>
    <t>Name of sheets</t>
  </si>
  <si>
    <t>Description of the data</t>
  </si>
  <si>
    <t>Frequency</t>
  </si>
  <si>
    <t>Last date of publication</t>
  </si>
  <si>
    <t>Monthly</t>
  </si>
  <si>
    <t>Quarterly</t>
  </si>
  <si>
    <t>Annually</t>
  </si>
  <si>
    <t xml:space="preserve">                                PRODUCTION OF ELECTRICAL ENERGY</t>
  </si>
  <si>
    <t>Production of electrical energy, monthly data</t>
  </si>
  <si>
    <t>Production of electrical energy, quarterly data</t>
  </si>
  <si>
    <t>Production of electrical energy, annually data</t>
  </si>
  <si>
    <t>Production of electrical energy.xls</t>
  </si>
  <si>
    <t>Last date of Publication</t>
  </si>
  <si>
    <t>Date of Publication</t>
  </si>
  <si>
    <t xml:space="preserve">                                PRODUCTION OF ELECTRICAL ENERGY BY PLANT</t>
  </si>
  <si>
    <t>THERMAL POWER PLANT</t>
  </si>
  <si>
    <t>Table of Contents</t>
  </si>
  <si>
    <t>Period\Plant</t>
  </si>
  <si>
    <t xml:space="preserve">                             PRODUCTION OF ELECTRICAL ENERGY (in thousands of KWH)</t>
  </si>
  <si>
    <t xml:space="preserve">                                PRODUCTION OF ELECTRICAL ENERGY (in thousands of KWH)</t>
  </si>
  <si>
    <t>Back to the table of contents</t>
  </si>
  <si>
    <t>Click here to see the data</t>
  </si>
  <si>
    <t>2019</t>
  </si>
  <si>
    <t>2020</t>
  </si>
  <si>
    <t xml:space="preserve"> Mubuga Solar*</t>
  </si>
  <si>
    <t>*Operational since January 2022</t>
  </si>
  <si>
    <t>RUZIBAZI**</t>
  </si>
  <si>
    <t>C. THERMIQUE 5 MW</t>
  </si>
  <si>
    <t>Rusumo****</t>
  </si>
  <si>
    <t>Q4-2023</t>
  </si>
  <si>
    <t>Rusumo</t>
  </si>
  <si>
    <t>C. THERMIQUE 5 MW***</t>
  </si>
  <si>
    <t>**Operational since May,2022</t>
  </si>
  <si>
    <t>***Operational since December,2022</t>
  </si>
  <si>
    <t>****Operational since November,2023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</si>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</sst>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\ _€_-;\-* #,##0\ _€_-;_-* &quot;-&quot;\ _€_-;_-@_-"/>
    <numFmt numFmtId="164" formatCode="_-* #,##0.00\ _F_-;\-* #,##0.00\ _F_-;_-* &quot;-&quot;??\ _F_-;_-@_-"/>
    <numFmt numFmtId="165" formatCode="#,##0.0_);\(#,##0.0\)"/>
    <numFmt numFmtId="166" formatCode="#,##0.000_);\(#,##0.000\)"/>
    <numFmt numFmtId="167" formatCode="#,##0.0000_);\(#,##0.0000\)"/>
    <numFmt numFmtId="168" formatCode="_-* #,##0.000\ _F_-;\-* #,##0.000\ _F_-;_-* &quot;-&quot;??\ _F_-;_-@_-"/>
    <numFmt numFmtId="169" formatCode="#,##0_ ;\-#,##0\ "/>
    <numFmt numFmtId="170" formatCode="#,##0.000_ ;\-#,##0.000\ "/>
    <numFmt numFmtId="171" formatCode="#,##0.000\ _€;\-#,##0.000\ _€"/>
    <numFmt numFmtId="172" formatCode="[$-409]mmm\-yy;@"/>
    <numFmt numFmtId="173" formatCode="[$-409]dd\-mmm\-yy;@"/>
    <numFmt numFmtId="174" formatCode="0_)"/>
    <numFmt numFmtId="175" formatCode="[$-40C]mmm\-yy;@"/>
  </numFmts>
  <fonts count="14" x14ac:knownFonts="1">
    <font>
      <sz val="12"/>
      <name val="Helv"/>
    </font>
    <font>
      <sz val="10"/>
      <name val="Arial"/>
      <family val="2"/>
    </font>
    <font>
      <b/>
      <sz val="12"/>
      <name val="Helv"/>
    </font>
    <font>
      <u/>
      <sz val="9.6"/>
      <color indexed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181">
    <xf numFmtId="37" fontId="0" fillId="0" borderId="0" xfId="0"/>
    <xf numFmtId="37" fontId="0" fillId="0" borderId="0" xfId="0" applyAlignment="1">
      <alignment horizontal="center"/>
    </xf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Border="1" applyAlignment="1">
      <alignment horizontal="fill"/>
    </xf>
    <xf numFmtId="37" fontId="0" fillId="0" borderId="2" xfId="0" applyBorder="1" applyAlignment="1">
      <alignment horizontal="fill"/>
    </xf>
    <xf numFmtId="37" fontId="0" fillId="0" borderId="3" xfId="0" applyBorder="1"/>
    <xf numFmtId="37" fontId="0" fillId="0" borderId="0" xfId="0" applyBorder="1"/>
    <xf numFmtId="37" fontId="0" fillId="0" borderId="4" xfId="0" applyBorder="1"/>
    <xf numFmtId="166" fontId="0" fillId="0" borderId="0" xfId="0" applyNumberFormat="1"/>
    <xf numFmtId="165" fontId="0" fillId="0" borderId="0" xfId="0" applyNumberFormat="1"/>
    <xf numFmtId="164" fontId="0" fillId="0" borderId="0" xfId="2" applyFont="1"/>
    <xf numFmtId="164" fontId="0" fillId="0" borderId="0" xfId="2" applyFont="1" applyBorder="1"/>
    <xf numFmtId="164" fontId="0" fillId="0" borderId="0" xfId="2" applyFont="1" applyProtection="1"/>
    <xf numFmtId="39" fontId="0" fillId="0" borderId="0" xfId="0" applyNumberFormat="1"/>
    <xf numFmtId="168" fontId="0" fillId="0" borderId="0" xfId="2" applyNumberFormat="1" applyFont="1"/>
    <xf numFmtId="168" fontId="0" fillId="0" borderId="0" xfId="2" applyNumberFormat="1" applyFont="1" applyProtection="1"/>
    <xf numFmtId="39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/>
    <xf numFmtId="39" fontId="0" fillId="0" borderId="0" xfId="0" applyNumberFormat="1" applyBorder="1" applyProtection="1"/>
    <xf numFmtId="164" fontId="0" fillId="0" borderId="0" xfId="2" applyFont="1" applyBorder="1" applyProtection="1"/>
    <xf numFmtId="37" fontId="0" fillId="0" borderId="0" xfId="0" applyNumberFormat="1" applyBorder="1" applyProtection="1"/>
    <xf numFmtId="165" fontId="0" fillId="0" borderId="0" xfId="0" applyNumberFormat="1" applyBorder="1"/>
    <xf numFmtId="37" fontId="4" fillId="0" borderId="0" xfId="0" applyFont="1" applyBorder="1"/>
    <xf numFmtId="37" fontId="4" fillId="0" borderId="4" xfId="0" applyFont="1" applyBorder="1"/>
    <xf numFmtId="37" fontId="4" fillId="0" borderId="5" xfId="0" applyFont="1" applyBorder="1" applyAlignment="1">
      <alignment horizontal="fill"/>
    </xf>
    <xf numFmtId="37" fontId="4" fillId="0" borderId="6" xfId="0" applyFont="1" applyBorder="1" applyAlignment="1">
      <alignment horizontal="fill"/>
    </xf>
    <xf numFmtId="37" fontId="4" fillId="0" borderId="7" xfId="0" applyFont="1" applyBorder="1"/>
    <xf numFmtId="37" fontId="4" fillId="0" borderId="8" xfId="0" applyFont="1" applyBorder="1"/>
    <xf numFmtId="37" fontId="4" fillId="0" borderId="7" xfId="0" applyNumberFormat="1" applyFont="1" applyBorder="1" applyProtection="1"/>
    <xf numFmtId="37" fontId="4" fillId="0" borderId="0" xfId="0" applyFont="1" applyFill="1" applyBorder="1"/>
    <xf numFmtId="37" fontId="4" fillId="0" borderId="4" xfId="0" applyFont="1" applyFill="1" applyBorder="1"/>
    <xf numFmtId="37" fontId="4" fillId="0" borderId="7" xfId="0" applyFont="1" applyFill="1" applyBorder="1"/>
    <xf numFmtId="37" fontId="4" fillId="0" borderId="7" xfId="0" applyFont="1" applyBorder="1" applyAlignment="1">
      <alignment horizontal="left"/>
    </xf>
    <xf numFmtId="3" fontId="4" fillId="0" borderId="7" xfId="0" applyNumberFormat="1" applyFont="1" applyBorder="1"/>
    <xf numFmtId="37" fontId="4" fillId="0" borderId="7" xfId="0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7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quotePrefix="1" applyFont="1" applyBorder="1" applyAlignment="1"/>
    <xf numFmtId="37" fontId="4" fillId="0" borderId="0" xfId="0" quotePrefix="1" applyFont="1" applyBorder="1" applyAlignment="1">
      <alignment horizontal="right"/>
    </xf>
    <xf numFmtId="37" fontId="4" fillId="0" borderId="7" xfId="0" quotePrefix="1" applyFont="1" applyFill="1" applyBorder="1" applyAlignment="1">
      <alignment horizontal="right"/>
    </xf>
    <xf numFmtId="37" fontId="4" fillId="0" borderId="7" xfId="0" quotePrefix="1" applyFont="1" applyBorder="1" applyAlignment="1">
      <alignment horizontal="right"/>
    </xf>
    <xf numFmtId="37" fontId="4" fillId="0" borderId="0" xfId="0" quotePrefix="1" applyFont="1" applyFill="1" applyBorder="1" applyAlignment="1">
      <alignment horizontal="right"/>
    </xf>
    <xf numFmtId="37" fontId="4" fillId="0" borderId="7" xfId="0" quotePrefix="1" applyNumberFormat="1" applyFont="1" applyBorder="1" applyAlignment="1">
      <alignment horizontal="right"/>
    </xf>
    <xf numFmtId="37" fontId="4" fillId="0" borderId="7" xfId="0" applyNumberFormat="1" applyFont="1" applyFill="1" applyBorder="1" applyAlignment="1">
      <alignment horizontal="center"/>
    </xf>
    <xf numFmtId="37" fontId="4" fillId="0" borderId="7" xfId="0" applyNumberFormat="1" applyFont="1" applyBorder="1" applyAlignment="1">
      <alignment horizontal="right"/>
    </xf>
    <xf numFmtId="37" fontId="4" fillId="0" borderId="7" xfId="0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37" fontId="4" fillId="0" borderId="0" xfId="0" quotePrefix="1" applyNumberFormat="1" applyFont="1" applyFill="1" applyBorder="1" applyAlignment="1">
      <alignment horizontal="right"/>
    </xf>
    <xf numFmtId="169" fontId="4" fillId="0" borderId="0" xfId="2" applyNumberFormat="1" applyFont="1" applyBorder="1" applyAlignment="1"/>
    <xf numFmtId="169" fontId="4" fillId="0" borderId="0" xfId="2" applyNumberFormat="1" applyFont="1" applyBorder="1" applyAlignment="1">
      <alignment horizontal="right"/>
    </xf>
    <xf numFmtId="169" fontId="4" fillId="0" borderId="7" xfId="2" applyNumberFormat="1" applyFont="1" applyBorder="1" applyAlignment="1">
      <alignment horizontal="right"/>
    </xf>
    <xf numFmtId="37" fontId="4" fillId="0" borderId="7" xfId="0" applyNumberFormat="1" applyFont="1" applyFill="1" applyBorder="1" applyAlignment="1">
      <alignment horizontal="center" vertical="top"/>
    </xf>
    <xf numFmtId="169" fontId="4" fillId="0" borderId="0" xfId="2" applyNumberFormat="1" applyFont="1" applyFill="1" applyBorder="1" applyAlignment="1">
      <alignment horizontal="right"/>
    </xf>
    <xf numFmtId="169" fontId="4" fillId="0" borderId="7" xfId="2" applyNumberFormat="1" applyFont="1" applyFill="1" applyBorder="1" applyAlignment="1">
      <alignment horizontal="right"/>
    </xf>
    <xf numFmtId="170" fontId="5" fillId="0" borderId="0" xfId="2" applyNumberFormat="1" applyFont="1" applyBorder="1" applyAlignment="1"/>
    <xf numFmtId="166" fontId="5" fillId="0" borderId="7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fill"/>
    </xf>
    <xf numFmtId="167" fontId="5" fillId="0" borderId="9" xfId="0" applyNumberFormat="1" applyFont="1" applyBorder="1" applyAlignment="1" applyProtection="1">
      <alignment horizontal="fill"/>
    </xf>
    <xf numFmtId="166" fontId="5" fillId="0" borderId="9" xfId="0" applyNumberFormat="1" applyFont="1" applyBorder="1" applyAlignment="1">
      <alignment horizontal="fill"/>
    </xf>
    <xf numFmtId="167" fontId="5" fillId="0" borderId="9" xfId="0" applyNumberFormat="1" applyFont="1" applyBorder="1" applyAlignment="1">
      <alignment horizontal="fill"/>
    </xf>
    <xf numFmtId="37" fontId="4" fillId="0" borderId="9" xfId="0" applyNumberFormat="1" applyFont="1" applyBorder="1" applyProtection="1"/>
    <xf numFmtId="168" fontId="5" fillId="0" borderId="1" xfId="2" applyNumberFormat="1" applyFont="1" applyBorder="1"/>
    <xf numFmtId="164" fontId="5" fillId="0" borderId="1" xfId="2" applyFont="1" applyBorder="1"/>
    <xf numFmtId="166" fontId="4" fillId="0" borderId="0" xfId="0" applyNumberFormat="1" applyFont="1" applyBorder="1"/>
    <xf numFmtId="0" fontId="4" fillId="0" borderId="6" xfId="0" applyNumberFormat="1" applyFont="1" applyBorder="1" applyAlignment="1">
      <alignment horizontal="fill"/>
    </xf>
    <xf numFmtId="0" fontId="4" fillId="0" borderId="6" xfId="0" applyNumberFormat="1" applyFont="1" applyBorder="1" applyAlignment="1" applyProtection="1">
      <alignment horizontal="fill"/>
    </xf>
    <xf numFmtId="0" fontId="4" fillId="0" borderId="10" xfId="0" applyNumberFormat="1" applyFont="1" applyBorder="1" applyAlignment="1">
      <alignment horizontal="fill"/>
    </xf>
    <xf numFmtId="41" fontId="4" fillId="0" borderId="7" xfId="0" applyNumberFormat="1" applyFont="1" applyFill="1" applyBorder="1" applyAlignment="1">
      <alignment horizontal="right"/>
    </xf>
    <xf numFmtId="37" fontId="4" fillId="0" borderId="2" xfId="0" applyNumberFormat="1" applyFont="1" applyBorder="1" applyAlignment="1" applyProtection="1">
      <alignment horizontal="right"/>
    </xf>
    <xf numFmtId="171" fontId="0" fillId="0" borderId="0" xfId="0" applyNumberFormat="1" applyBorder="1" applyProtection="1"/>
    <xf numFmtId="171" fontId="0" fillId="0" borderId="0" xfId="0" applyNumberFormat="1" applyBorder="1"/>
    <xf numFmtId="37" fontId="6" fillId="0" borderId="0" xfId="0" applyFont="1"/>
    <xf numFmtId="37" fontId="5" fillId="0" borderId="3" xfId="0" applyFont="1" applyBorder="1" applyAlignment="1">
      <alignment horizontal="center"/>
    </xf>
    <xf numFmtId="172" fontId="4" fillId="0" borderId="7" xfId="0" applyNumberFormat="1" applyFont="1" applyBorder="1" applyAlignment="1">
      <alignment horizontal="left"/>
    </xf>
    <xf numFmtId="169" fontId="4" fillId="0" borderId="7" xfId="0" applyNumberFormat="1" applyFont="1" applyBorder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4" fillId="0" borderId="7" xfId="0" applyNumberFormat="1" applyFont="1" applyFill="1" applyBorder="1" applyAlignment="1">
      <alignment horizontal="right"/>
    </xf>
    <xf numFmtId="169" fontId="4" fillId="0" borderId="0" xfId="0" quotePrefix="1" applyNumberFormat="1" applyFont="1" applyBorder="1" applyAlignment="1">
      <alignment horizontal="left"/>
    </xf>
    <xf numFmtId="37" fontId="4" fillId="0" borderId="11" xfId="0" applyFont="1" applyBorder="1" applyAlignment="1">
      <alignment horizontal="left"/>
    </xf>
    <xf numFmtId="37" fontId="4" fillId="0" borderId="11" xfId="0" applyFont="1" applyBorder="1"/>
    <xf numFmtId="37" fontId="4" fillId="0" borderId="11" xfId="0" applyNumberFormat="1" applyFont="1" applyBorder="1" applyProtection="1"/>
    <xf numFmtId="3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7" fontId="7" fillId="0" borderId="0" xfId="0" applyFont="1"/>
    <xf numFmtId="37" fontId="8" fillId="0" borderId="0" xfId="0" applyFont="1"/>
    <xf numFmtId="37" fontId="9" fillId="0" borderId="0" xfId="0" applyFont="1"/>
    <xf numFmtId="37" fontId="10" fillId="2" borderId="12" xfId="0" applyFont="1" applyFill="1" applyBorder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1" fillId="3" borderId="13" xfId="0" applyFont="1" applyFill="1" applyBorder="1"/>
    <xf numFmtId="37" fontId="8" fillId="3" borderId="13" xfId="0" applyFont="1" applyFill="1" applyBorder="1"/>
    <xf numFmtId="173" fontId="8" fillId="0" borderId="0" xfId="0" applyNumberFormat="1" applyFont="1" applyAlignment="1">
      <alignment horizontal="left"/>
    </xf>
    <xf numFmtId="174" fontId="3" fillId="0" borderId="0" xfId="1" applyNumberFormat="1" applyAlignment="1" applyProtection="1"/>
    <xf numFmtId="37" fontId="12" fillId="4" borderId="11" xfId="0" applyFont="1" applyFill="1" applyBorder="1" applyAlignment="1" applyProtection="1">
      <alignment horizontal="center"/>
      <protection locked="0"/>
    </xf>
    <xf numFmtId="37" fontId="3" fillId="0" borderId="5" xfId="1" applyNumberFormat="1" applyBorder="1" applyAlignment="1" applyProtection="1">
      <alignment horizontal="right"/>
      <protection locked="0"/>
    </xf>
    <xf numFmtId="37" fontId="12" fillId="5" borderId="11" xfId="0" applyFont="1" applyFill="1" applyBorder="1" applyAlignment="1" applyProtection="1">
      <alignment horizontal="left"/>
      <protection locked="0"/>
    </xf>
    <xf numFmtId="37" fontId="13" fillId="5" borderId="11" xfId="0" applyFont="1" applyFill="1" applyBorder="1" applyAlignment="1" applyProtection="1">
      <alignment horizontal="right"/>
      <protection locked="0"/>
    </xf>
    <xf numFmtId="37" fontId="0" fillId="0" borderId="0" xfId="0" applyFill="1"/>
    <xf numFmtId="37" fontId="0" fillId="6" borderId="8" xfId="0" applyFill="1" applyBorder="1"/>
    <xf numFmtId="37" fontId="0" fillId="6" borderId="1" xfId="0" applyFill="1" applyBorder="1"/>
    <xf numFmtId="39" fontId="0" fillId="6" borderId="1" xfId="0" applyNumberFormat="1" applyFill="1" applyBorder="1"/>
    <xf numFmtId="166" fontId="0" fillId="6" borderId="1" xfId="0" applyNumberFormat="1" applyFill="1" applyBorder="1"/>
    <xf numFmtId="37" fontId="2" fillId="6" borderId="2" xfId="0" applyFont="1" applyFill="1" applyBorder="1" applyAlignment="1">
      <alignment horizontal="right"/>
    </xf>
    <xf numFmtId="37" fontId="3" fillId="3" borderId="0" xfId="1" applyNumberFormat="1" applyFill="1" applyAlignment="1" applyProtection="1"/>
    <xf numFmtId="1" fontId="0" fillId="0" borderId="0" xfId="2" applyNumberFormat="1" applyFont="1"/>
    <xf numFmtId="3" fontId="4" fillId="0" borderId="4" xfId="0" applyNumberFormat="1" applyFont="1" applyBorder="1" applyAlignment="1">
      <alignment horizontal="right"/>
    </xf>
    <xf numFmtId="37" fontId="0" fillId="0" borderId="10" xfId="0" applyNumberFormat="1" applyBorder="1" applyProtection="1"/>
    <xf numFmtId="37" fontId="4" fillId="0" borderId="7" xfId="0" applyNumberFormat="1" applyFont="1" applyFill="1" applyBorder="1"/>
    <xf numFmtId="172" fontId="4" fillId="7" borderId="7" xfId="0" applyNumberFormat="1" applyFont="1" applyFill="1" applyBorder="1" applyAlignment="1">
      <alignment horizontal="left"/>
    </xf>
    <xf numFmtId="37" fontId="4" fillId="7" borderId="0" xfId="0" applyFont="1" applyFill="1" applyBorder="1"/>
    <xf numFmtId="37" fontId="4" fillId="7" borderId="7" xfId="0" applyFont="1" applyFill="1" applyBorder="1"/>
    <xf numFmtId="37" fontId="0" fillId="7" borderId="0" xfId="0" applyFill="1"/>
    <xf numFmtId="37" fontId="5" fillId="6" borderId="3" xfId="0" applyFont="1" applyFill="1" applyBorder="1" applyAlignment="1"/>
    <xf numFmtId="37" fontId="5" fillId="6" borderId="0" xfId="0" applyFont="1" applyFill="1" applyBorder="1" applyAlignment="1"/>
    <xf numFmtId="37" fontId="5" fillId="6" borderId="4" xfId="0" applyFont="1" applyFill="1" applyBorder="1" applyAlignment="1"/>
    <xf numFmtId="37" fontId="5" fillId="6" borderId="5" xfId="0" applyFont="1" applyFill="1" applyBorder="1" applyAlignment="1"/>
    <xf numFmtId="37" fontId="5" fillId="6" borderId="6" xfId="0" applyFont="1" applyFill="1" applyBorder="1" applyAlignment="1"/>
    <xf numFmtId="37" fontId="5" fillId="6" borderId="10" xfId="0" applyFont="1" applyFill="1" applyBorder="1" applyAlignment="1"/>
    <xf numFmtId="172" fontId="8" fillId="3" borderId="0" xfId="0" quotePrefix="1" applyNumberFormat="1" applyFont="1" applyFill="1" applyAlignment="1">
      <alignment horizontal="right"/>
    </xf>
    <xf numFmtId="175" fontId="4" fillId="0" borderId="7" xfId="0" applyNumberFormat="1" applyFont="1" applyBorder="1" applyAlignment="1">
      <alignment horizontal="left"/>
    </xf>
    <xf numFmtId="37" fontId="0" fillId="0" borderId="0" xfId="0"/>
    <xf numFmtId="37" fontId="0" fillId="0" borderId="1" xfId="0" applyBorder="1" applyAlignment="1">
      <alignment horizontal="fill"/>
    </xf>
    <xf numFmtId="37" fontId="0" fillId="0" borderId="0" xfId="0" applyBorder="1"/>
    <xf numFmtId="164" fontId="0" fillId="0" borderId="0" xfId="2" applyFont="1"/>
    <xf numFmtId="164" fontId="0" fillId="0" borderId="0" xfId="2" applyFont="1" applyBorder="1"/>
    <xf numFmtId="168" fontId="0" fillId="0" borderId="0" xfId="2" applyNumberFormat="1" applyFont="1"/>
    <xf numFmtId="37" fontId="4" fillId="0" borderId="0" xfId="0" applyFont="1" applyFill="1" applyBorder="1"/>
    <xf numFmtId="37" fontId="4" fillId="0" borderId="7" xfId="0" applyFont="1" applyFill="1" applyBorder="1"/>
    <xf numFmtId="3" fontId="4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169" fontId="4" fillId="0" borderId="7" xfId="2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fill"/>
    </xf>
    <xf numFmtId="171" fontId="0" fillId="0" borderId="0" xfId="0" applyNumberFormat="1" applyBorder="1"/>
    <xf numFmtId="37" fontId="13" fillId="5" borderId="11" xfId="0" applyFont="1" applyFill="1" applyBorder="1" applyAlignment="1" applyProtection="1">
      <alignment horizontal="right"/>
      <protection locked="0"/>
    </xf>
    <xf numFmtId="37" fontId="0" fillId="6" borderId="1" xfId="0" applyFill="1" applyBorder="1"/>
    <xf numFmtId="3" fontId="4" fillId="0" borderId="4" xfId="0" applyNumberFormat="1" applyFont="1" applyBorder="1" applyAlignment="1">
      <alignment horizontal="right"/>
    </xf>
    <xf numFmtId="37" fontId="4" fillId="7" borderId="7" xfId="0" applyFont="1" applyFill="1" applyBorder="1"/>
    <xf numFmtId="168" fontId="5" fillId="0" borderId="0" xfId="2" applyNumberFormat="1" applyFont="1" applyBorder="1"/>
    <xf numFmtId="37" fontId="0" fillId="0" borderId="0" xfId="0"/>
    <xf numFmtId="37" fontId="0" fillId="0" borderId="1" xfId="0" applyBorder="1" applyAlignment="1">
      <alignment horizontal="fill"/>
    </xf>
    <xf numFmtId="37" fontId="0" fillId="0" borderId="0" xfId="0" applyBorder="1"/>
    <xf numFmtId="164" fontId="0" fillId="0" borderId="0" xfId="2" applyFont="1"/>
    <xf numFmtId="164" fontId="0" fillId="0" borderId="0" xfId="2" applyFont="1" applyBorder="1"/>
    <xf numFmtId="168" fontId="0" fillId="0" borderId="0" xfId="2" applyNumberFormat="1" applyFont="1"/>
    <xf numFmtId="3" fontId="4" fillId="0" borderId="7" xfId="0" applyNumberFormat="1" applyFont="1" applyBorder="1" applyAlignment="1">
      <alignment horizontal="right"/>
    </xf>
    <xf numFmtId="167" fontId="5" fillId="0" borderId="9" xfId="0" applyNumberFormat="1" applyFont="1" applyBorder="1" applyAlignment="1">
      <alignment horizontal="fill"/>
    </xf>
    <xf numFmtId="168" fontId="5" fillId="0" borderId="1" xfId="2" applyNumberFormat="1" applyFont="1" applyBorder="1"/>
    <xf numFmtId="166" fontId="4" fillId="0" borderId="0" xfId="0" applyNumberFormat="1" applyFont="1" applyBorder="1"/>
    <xf numFmtId="0" fontId="4" fillId="0" borderId="6" xfId="0" applyNumberFormat="1" applyFont="1" applyBorder="1" applyAlignment="1">
      <alignment horizontal="fill"/>
    </xf>
    <xf numFmtId="171" fontId="0" fillId="0" borderId="0" xfId="0" applyNumberFormat="1" applyBorder="1"/>
    <xf numFmtId="37" fontId="4" fillId="0" borderId="11" xfId="0" applyFont="1" applyBorder="1"/>
    <xf numFmtId="3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7" fontId="13" fillId="5" borderId="11" xfId="0" applyFont="1" applyFill="1" applyBorder="1" applyAlignment="1" applyProtection="1">
      <alignment horizontal="right"/>
      <protection locked="0"/>
    </xf>
    <xf numFmtId="37" fontId="0" fillId="6" borderId="1" xfId="0" applyFill="1" applyBorder="1"/>
    <xf numFmtId="37" fontId="5" fillId="6" borderId="6" xfId="0" applyFont="1" applyFill="1" applyBorder="1" applyAlignment="1"/>
    <xf numFmtId="3" fontId="4" fillId="0" borderId="11" xfId="0" applyNumberFormat="1" applyFont="1" applyBorder="1" applyAlignment="1">
      <alignment horizontal="right"/>
    </xf>
    <xf numFmtId="37" fontId="13" fillId="5" borderId="11" xfId="0" applyFont="1" applyFill="1" applyBorder="1" applyAlignment="1" applyProtection="1">
      <alignment horizontal="right"/>
      <protection locked="0"/>
    </xf>
    <xf numFmtId="37" fontId="4" fillId="0" borderId="0" xfId="0" applyFont="1" applyFill="1" applyBorder="1"/>
    <xf numFmtId="37" fontId="4" fillId="0" borderId="7" xfId="0" applyFont="1" applyFill="1" applyBorder="1"/>
    <xf numFmtId="3" fontId="4" fillId="0" borderId="4" xfId="0" applyNumberFormat="1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72" fontId="4" fillId="0" borderId="3" xfId="0" applyNumberFormat="1" applyFont="1" applyBorder="1" applyAlignment="1">
      <alignment horizontal="left"/>
    </xf>
    <xf numFmtId="164" fontId="5" fillId="0" borderId="0" xfId="2" applyFont="1" applyBorder="1"/>
    <xf numFmtId="37" fontId="4" fillId="0" borderId="4" xfId="0" applyNumberFormat="1" applyFont="1" applyBorder="1" applyAlignment="1" applyProtection="1">
      <alignment horizontal="right"/>
    </xf>
    <xf numFmtId="37" fontId="4" fillId="0" borderId="4" xfId="0" applyNumberFormat="1" applyFont="1" applyBorder="1" applyProtection="1"/>
    <xf numFmtId="37" fontId="4" fillId="0" borderId="3" xfId="0" applyFont="1" applyFill="1" applyBorder="1"/>
    <xf numFmtId="37" fontId="4" fillId="0" borderId="2" xfId="0" applyFont="1" applyBorder="1"/>
    <xf numFmtId="37" fontId="5" fillId="6" borderId="5" xfId="0" applyFont="1" applyFill="1" applyBorder="1" applyAlignment="1">
      <alignment horizontal="center"/>
    </xf>
    <xf numFmtId="37" fontId="5" fillId="6" borderId="6" xfId="0" applyFont="1" applyFill="1" applyBorder="1" applyAlignment="1">
      <alignment horizontal="center"/>
    </xf>
    <xf numFmtId="37" fontId="5" fillId="6" borderId="10" xfId="0" applyFont="1" applyFill="1" applyBorder="1" applyAlignment="1">
      <alignment horizontal="center"/>
    </xf>
    <xf numFmtId="37" fontId="5" fillId="6" borderId="3" xfId="0" applyFont="1" applyFill="1" applyBorder="1" applyAlignment="1">
      <alignment horizontal="center"/>
    </xf>
    <xf numFmtId="37" fontId="5" fillId="6" borderId="0" xfId="0" applyFont="1" applyFill="1" applyBorder="1" applyAlignment="1">
      <alignment horizontal="center"/>
    </xf>
    <xf numFmtId="37" fontId="5" fillId="6" borderId="4" xfId="0" applyFont="1" applyFill="1" applyBorder="1" applyAlignment="1">
      <alignment horizontal="center"/>
    </xf>
    <xf numFmtId="175" fontId="4" fillId="0" borderId="9" xfId="0" applyNumberFormat="1" applyFont="1" applyBorder="1" applyAlignment="1">
      <alignment horizontal="left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18"/>
  <sheetViews>
    <sheetView topLeftCell="A13" workbookViewId="0">
      <selection activeCell="E8" sqref="E8"/>
    </sheetView>
  </sheetViews>
  <sheetFormatPr baseColWidth="10" defaultColWidth="8.88671875" defaultRowHeight="15.75" x14ac:dyDescent="0.25"/>
  <cols>
    <col min="1" max="1" width="4.21875" style="89" customWidth="1"/>
    <col min="2" max="2" width="81.109375" style="89" bestFit="1" customWidth="1"/>
    <col min="3" max="3" width="46.109375" style="89" bestFit="1" customWidth="1"/>
    <col min="4" max="4" width="17.109375" style="89" bestFit="1" customWidth="1"/>
    <col min="5" max="5" width="15.88671875" style="89" customWidth="1"/>
    <col min="6" max="16384" width="8.88671875" style="89"/>
  </cols>
  <sheetData>
    <row r="2" spans="2:5" ht="18.75" x14ac:dyDescent="0.3">
      <c r="B2" s="88" t="s">
        <v>59</v>
      </c>
    </row>
    <row r="3" spans="2:5" ht="18.75" x14ac:dyDescent="0.3">
      <c r="B3" s="90" t="s">
        <v>50</v>
      </c>
    </row>
    <row r="5" spans="2:5" x14ac:dyDescent="0.25">
      <c r="B5" s="89" t="s">
        <v>64</v>
      </c>
    </row>
    <row r="6" spans="2:5" ht="16.5" thickBot="1" x14ac:dyDescent="0.3">
      <c r="B6" s="91" t="s">
        <v>43</v>
      </c>
      <c r="C6" s="91" t="s">
        <v>44</v>
      </c>
      <c r="D6" s="91" t="s">
        <v>45</v>
      </c>
      <c r="E6" s="91" t="s">
        <v>46</v>
      </c>
    </row>
    <row r="7" spans="2:5" x14ac:dyDescent="0.25">
      <c r="B7" s="109" t="s">
        <v>47</v>
      </c>
      <c r="C7" s="92" t="s">
        <v>51</v>
      </c>
      <c r="D7" s="92" t="s">
        <v>47</v>
      </c>
      <c r="E7" s="124">
        <v>45352</v>
      </c>
    </row>
    <row r="8" spans="2:5" x14ac:dyDescent="0.25">
      <c r="B8" s="109" t="s">
        <v>48</v>
      </c>
      <c r="C8" s="92" t="s">
        <v>52</v>
      </c>
      <c r="D8" s="92" t="s">
        <v>48</v>
      </c>
      <c r="E8" s="93" t="s">
        <v>72</v>
      </c>
    </row>
    <row r="9" spans="2:5" x14ac:dyDescent="0.25">
      <c r="B9" s="109" t="s">
        <v>49</v>
      </c>
      <c r="C9" s="92" t="s">
        <v>53</v>
      </c>
      <c r="D9" s="92" t="s">
        <v>49</v>
      </c>
      <c r="E9" s="94" t="s">
        <v>78</v>
      </c>
    </row>
    <row r="10" spans="2:5" ht="16.5" thickBot="1" x14ac:dyDescent="0.3">
      <c r="B10" s="95"/>
      <c r="C10" s="96"/>
      <c r="D10" s="96"/>
      <c r="E10" s="96"/>
    </row>
    <row r="12" spans="2:5" x14ac:dyDescent="0.25">
      <c r="B12" s="89" t="s">
        <v>56</v>
      </c>
      <c r="C12" s="97"/>
    </row>
    <row r="13" spans="2:5" x14ac:dyDescent="0.25">
      <c r="B13" s="89" t="s">
        <v>55</v>
      </c>
      <c r="C13" s="97"/>
    </row>
    <row r="15" spans="2:5" x14ac:dyDescent="0.25">
      <c r="B15" s="89" t="s">
        <v>39</v>
      </c>
      <c r="C15" s="89" t="s">
        <v>54</v>
      </c>
    </row>
    <row r="16" spans="2:5" x14ac:dyDescent="0.25">
      <c r="B16" s="89" t="s">
        <v>40</v>
      </c>
      <c r="C16" s="98" t="s">
        <v>41</v>
      </c>
    </row>
    <row r="19" spans="2:3" ht="18.75" x14ac:dyDescent="0.3">
      <c r="B19" s="90" t="s">
        <v>57</v>
      </c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 s="99" t="s">
        <v>0</v>
      </c>
      <c r="C22"/>
    </row>
    <row r="23" spans="2:3" x14ac:dyDescent="0.25">
      <c r="B23" s="99" t="s">
        <v>1</v>
      </c>
      <c r="C23"/>
    </row>
    <row r="24" spans="2:3" x14ac:dyDescent="0.25">
      <c r="B24" s="99" t="s">
        <v>2</v>
      </c>
      <c r="C24"/>
    </row>
    <row r="25" spans="2:3" x14ac:dyDescent="0.25">
      <c r="B25" s="99" t="s">
        <v>3</v>
      </c>
      <c r="C25"/>
    </row>
    <row r="26" spans="2:3" x14ac:dyDescent="0.25">
      <c r="B26" s="99" t="s">
        <v>34</v>
      </c>
      <c r="C26"/>
    </row>
    <row r="27" spans="2:3" x14ac:dyDescent="0.25">
      <c r="B27" s="99" t="s">
        <v>4</v>
      </c>
      <c r="C27"/>
    </row>
    <row r="28" spans="2:3" x14ac:dyDescent="0.25">
      <c r="B28" s="99" t="s">
        <v>5</v>
      </c>
      <c r="C28"/>
    </row>
    <row r="29" spans="2:3" x14ac:dyDescent="0.25">
      <c r="B29" s="99" t="s">
        <v>37</v>
      </c>
      <c r="C29"/>
    </row>
    <row r="30" spans="2:3" x14ac:dyDescent="0.25">
      <c r="B30" s="99" t="s">
        <v>58</v>
      </c>
      <c r="C30"/>
    </row>
    <row r="31" spans="2:3" x14ac:dyDescent="0.25">
      <c r="B31" s="99" t="s">
        <v>73</v>
      </c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</sheetData>
  <hyperlinks>
    <hyperlink ref="C16" r:id="rId1"/>
    <hyperlink ref="B7" location="Monthly_Data!A1" display="Monthly"/>
    <hyperlink ref="B8" location="Quaterly_Data!A1" display="Quarterly"/>
    <hyperlink ref="B9" location="Annually_Data!A1" display="Annually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319"/>
  <sheetViews>
    <sheetView tabSelected="1" workbookViewId="0">
      <pane xSplit="1" ySplit="6" topLeftCell="B130" activePane="bottomRight" state="frozen"/>
      <selection pane="topRight" activeCell="B1" sqref="B1"/>
      <selection pane="bottomLeft" activeCell="A7" sqref="A7"/>
      <selection pane="bottomRight" activeCell="C303" sqref="C303"/>
    </sheetView>
  </sheetViews>
  <sheetFormatPr baseColWidth="10" defaultColWidth="21.6640625" defaultRowHeight="15.75" x14ac:dyDescent="0.25"/>
  <cols>
    <col min="1" max="1" width="21" customWidth="1"/>
    <col min="2" max="2" width="13.21875" customWidth="1"/>
    <col min="3" max="3" width="13.44140625" customWidth="1"/>
    <col min="4" max="4" width="13.109375" customWidth="1"/>
    <col min="5" max="5" width="12.21875" customWidth="1"/>
    <col min="6" max="6" width="13.21875" customWidth="1"/>
    <col min="7" max="7" width="14" customWidth="1"/>
    <col min="8" max="10" width="12.6640625" customWidth="1"/>
    <col min="11" max="11" width="14.33203125" customWidth="1"/>
    <col min="12" max="12" width="19.33203125" customWidth="1"/>
    <col min="13" max="14" width="14.33203125" customWidth="1"/>
    <col min="16" max="16" width="12.6640625" customWidth="1"/>
  </cols>
  <sheetData>
    <row r="1" spans="1:16" x14ac:dyDescent="0.25">
      <c r="A1" s="100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5"/>
    </row>
    <row r="2" spans="1:16" x14ac:dyDescent="0.25">
      <c r="A2" s="6" t="s">
        <v>19</v>
      </c>
      <c r="B2" s="7"/>
      <c r="C2" s="7"/>
      <c r="D2" s="18"/>
      <c r="E2" s="7"/>
      <c r="F2" s="7"/>
      <c r="G2" s="7"/>
      <c r="H2" s="7"/>
      <c r="I2" s="7"/>
      <c r="J2" s="7"/>
      <c r="K2" s="7"/>
      <c r="L2" s="7"/>
      <c r="M2" s="7"/>
      <c r="N2" s="7"/>
      <c r="P2" s="8"/>
    </row>
    <row r="3" spans="1:16" x14ac:dyDescent="0.25">
      <c r="A3" s="104"/>
      <c r="B3" s="105"/>
      <c r="C3" s="105"/>
      <c r="D3" s="106"/>
      <c r="E3" s="105"/>
      <c r="F3" s="105"/>
      <c r="G3" s="107"/>
      <c r="H3" s="105"/>
      <c r="I3" s="105"/>
      <c r="J3" s="105"/>
      <c r="K3" s="105"/>
      <c r="L3" s="105"/>
      <c r="M3" s="105"/>
      <c r="N3" s="105"/>
      <c r="O3" s="160"/>
      <c r="P3" s="108" t="s">
        <v>36</v>
      </c>
    </row>
    <row r="4" spans="1:16" x14ac:dyDescent="0.25">
      <c r="A4" s="118" t="s">
        <v>61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</row>
    <row r="5" spans="1:16" x14ac:dyDescent="0.25">
      <c r="A5" s="12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23"/>
    </row>
    <row r="6" spans="1:16" x14ac:dyDescent="0.25">
      <c r="A6" s="101" t="s">
        <v>60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34</v>
      </c>
      <c r="G6" s="102" t="s">
        <v>4</v>
      </c>
      <c r="H6" s="102" t="s">
        <v>5</v>
      </c>
      <c r="I6" s="102" t="s">
        <v>37</v>
      </c>
      <c r="J6" s="102" t="s">
        <v>42</v>
      </c>
      <c r="K6" s="102" t="s">
        <v>69</v>
      </c>
      <c r="L6" s="102" t="s">
        <v>58</v>
      </c>
      <c r="M6" s="102" t="s">
        <v>67</v>
      </c>
      <c r="N6" s="139" t="s">
        <v>74</v>
      </c>
      <c r="O6" s="163" t="s">
        <v>71</v>
      </c>
      <c r="P6" s="102" t="s">
        <v>6</v>
      </c>
    </row>
    <row r="7" spans="1:16" x14ac:dyDescent="0.25">
      <c r="A7" s="78">
        <v>36526</v>
      </c>
      <c r="B7" s="35">
        <v>3510</v>
      </c>
      <c r="C7" s="28">
        <v>3510</v>
      </c>
      <c r="D7" s="24">
        <v>846</v>
      </c>
      <c r="E7" s="28">
        <v>104</v>
      </c>
      <c r="F7" s="24">
        <v>91</v>
      </c>
      <c r="G7" s="28">
        <v>555</v>
      </c>
      <c r="H7" s="28">
        <v>77</v>
      </c>
      <c r="I7" s="28"/>
      <c r="J7" s="28"/>
      <c r="K7" s="28"/>
      <c r="L7" s="28"/>
      <c r="M7" s="28"/>
      <c r="N7" s="28"/>
      <c r="P7" s="30">
        <f t="shared" ref="P7:P38" si="0">B7+C7+D7+E7+F7+G7+H7</f>
        <v>8693</v>
      </c>
    </row>
    <row r="8" spans="1:16" x14ac:dyDescent="0.25">
      <c r="A8" s="78">
        <v>36557</v>
      </c>
      <c r="B8" s="35">
        <v>3270</v>
      </c>
      <c r="C8" s="28">
        <v>3270</v>
      </c>
      <c r="D8" s="24">
        <v>791</v>
      </c>
      <c r="E8" s="28">
        <v>177</v>
      </c>
      <c r="F8" s="24">
        <v>127</v>
      </c>
      <c r="G8" s="36">
        <v>542</v>
      </c>
      <c r="H8" s="28">
        <v>68</v>
      </c>
      <c r="I8" s="28"/>
      <c r="J8" s="28"/>
      <c r="K8" s="28"/>
      <c r="L8" s="28"/>
      <c r="M8" s="28"/>
      <c r="N8" s="28"/>
      <c r="P8" s="30">
        <f t="shared" si="0"/>
        <v>8245</v>
      </c>
    </row>
    <row r="9" spans="1:16" x14ac:dyDescent="0.25">
      <c r="A9" s="78">
        <v>36586</v>
      </c>
      <c r="B9" s="35">
        <v>4693</v>
      </c>
      <c r="C9" s="28">
        <v>4693</v>
      </c>
      <c r="D9" s="24">
        <v>766</v>
      </c>
      <c r="E9" s="28">
        <v>159</v>
      </c>
      <c r="F9" s="24">
        <v>106</v>
      </c>
      <c r="G9" s="28">
        <v>546</v>
      </c>
      <c r="H9" s="28">
        <v>98</v>
      </c>
      <c r="I9" s="28"/>
      <c r="J9" s="28"/>
      <c r="K9" s="28"/>
      <c r="L9" s="28"/>
      <c r="M9" s="28"/>
      <c r="N9" s="28"/>
      <c r="P9" s="30">
        <f t="shared" si="0"/>
        <v>11061</v>
      </c>
    </row>
    <row r="10" spans="1:16" x14ac:dyDescent="0.25">
      <c r="A10" s="78">
        <v>36617</v>
      </c>
      <c r="B10" s="35">
        <v>4957</v>
      </c>
      <c r="C10" s="28">
        <v>4957</v>
      </c>
      <c r="D10" s="24">
        <v>610</v>
      </c>
      <c r="E10" s="28">
        <v>157</v>
      </c>
      <c r="F10" s="24">
        <f>113+19</f>
        <v>132</v>
      </c>
      <c r="G10" s="28">
        <v>508</v>
      </c>
      <c r="H10" s="28">
        <v>78</v>
      </c>
      <c r="I10" s="28"/>
      <c r="J10" s="28"/>
      <c r="K10" s="28"/>
      <c r="L10" s="28"/>
      <c r="M10" s="28"/>
      <c r="N10" s="28"/>
      <c r="P10" s="30">
        <f t="shared" si="0"/>
        <v>11399</v>
      </c>
    </row>
    <row r="11" spans="1:16" x14ac:dyDescent="0.25">
      <c r="A11" s="78">
        <v>36647</v>
      </c>
      <c r="B11" s="35">
        <v>5260</v>
      </c>
      <c r="C11" s="28">
        <v>5260</v>
      </c>
      <c r="D11" s="24">
        <v>683</v>
      </c>
      <c r="E11" s="28">
        <v>172</v>
      </c>
      <c r="F11" s="24">
        <v>95</v>
      </c>
      <c r="G11" s="28">
        <v>531</v>
      </c>
      <c r="H11" s="28">
        <v>85</v>
      </c>
      <c r="I11" s="28"/>
      <c r="J11" s="28"/>
      <c r="K11" s="28"/>
      <c r="L11" s="28"/>
      <c r="M11" s="28"/>
      <c r="N11" s="28"/>
      <c r="P11" s="30">
        <f t="shared" si="0"/>
        <v>12086</v>
      </c>
    </row>
    <row r="12" spans="1:16" x14ac:dyDescent="0.25">
      <c r="A12" s="78">
        <v>36678</v>
      </c>
      <c r="B12" s="35">
        <v>4279</v>
      </c>
      <c r="C12" s="28">
        <v>4279</v>
      </c>
      <c r="D12" s="24">
        <v>585</v>
      </c>
      <c r="E12" s="28">
        <v>158</v>
      </c>
      <c r="F12" s="24">
        <v>30</v>
      </c>
      <c r="G12" s="28">
        <v>517</v>
      </c>
      <c r="H12" s="28">
        <v>61</v>
      </c>
      <c r="I12" s="28"/>
      <c r="J12" s="28"/>
      <c r="K12" s="28"/>
      <c r="L12" s="28"/>
      <c r="M12" s="28"/>
      <c r="N12" s="28"/>
      <c r="P12" s="30">
        <f t="shared" si="0"/>
        <v>9909</v>
      </c>
    </row>
    <row r="13" spans="1:16" x14ac:dyDescent="0.25">
      <c r="A13" s="78">
        <v>36708</v>
      </c>
      <c r="B13" s="35">
        <v>4574</v>
      </c>
      <c r="C13" s="28">
        <v>4574</v>
      </c>
      <c r="D13" s="24">
        <v>386</v>
      </c>
      <c r="E13" s="28">
        <v>151</v>
      </c>
      <c r="F13" s="24">
        <v>34</v>
      </c>
      <c r="G13" s="28">
        <v>300</v>
      </c>
      <c r="H13" s="28">
        <v>5</v>
      </c>
      <c r="I13" s="28"/>
      <c r="J13" s="28"/>
      <c r="K13" s="28"/>
      <c r="L13" s="28"/>
      <c r="M13" s="28"/>
      <c r="N13" s="28"/>
      <c r="P13" s="30">
        <f t="shared" si="0"/>
        <v>10024</v>
      </c>
    </row>
    <row r="14" spans="1:16" x14ac:dyDescent="0.25">
      <c r="A14" s="78">
        <v>36739</v>
      </c>
      <c r="B14" s="35">
        <v>4494.3</v>
      </c>
      <c r="C14" s="28">
        <v>4494.3</v>
      </c>
      <c r="D14" s="24">
        <v>323.16000000000003</v>
      </c>
      <c r="E14" s="28">
        <v>109.5645</v>
      </c>
      <c r="F14" s="24">
        <f>15.525+7.52</f>
        <v>23.045000000000002</v>
      </c>
      <c r="G14" s="28">
        <v>238.07400000000001</v>
      </c>
      <c r="H14" s="28">
        <v>97.304000000000002</v>
      </c>
      <c r="I14" s="28"/>
      <c r="J14" s="28"/>
      <c r="K14" s="28"/>
      <c r="L14" s="28"/>
      <c r="M14" s="28"/>
      <c r="N14" s="28"/>
      <c r="P14" s="30">
        <f t="shared" si="0"/>
        <v>9779.7475000000013</v>
      </c>
    </row>
    <row r="15" spans="1:16" x14ac:dyDescent="0.25">
      <c r="A15" s="78">
        <v>36770</v>
      </c>
      <c r="B15" s="35">
        <v>4081.6</v>
      </c>
      <c r="C15" s="28">
        <v>4081.6</v>
      </c>
      <c r="D15" s="24">
        <v>192.48</v>
      </c>
      <c r="E15" s="28">
        <v>76.516000000000005</v>
      </c>
      <c r="F15" s="24">
        <f>24.442+7.83</f>
        <v>32.271999999999998</v>
      </c>
      <c r="G15" s="28">
        <v>386.12200000000001</v>
      </c>
      <c r="H15" s="28">
        <v>29.963999999999999</v>
      </c>
      <c r="I15" s="28"/>
      <c r="J15" s="28"/>
      <c r="K15" s="28"/>
      <c r="L15" s="28"/>
      <c r="M15" s="28"/>
      <c r="N15" s="28"/>
      <c r="P15" s="30">
        <f t="shared" si="0"/>
        <v>8880.5540000000001</v>
      </c>
    </row>
    <row r="16" spans="1:16" x14ac:dyDescent="0.25">
      <c r="A16" s="78">
        <v>36800</v>
      </c>
      <c r="B16" s="37">
        <v>3621.4</v>
      </c>
      <c r="C16" s="36">
        <v>3621.4</v>
      </c>
      <c r="D16" s="38">
        <v>240</v>
      </c>
      <c r="E16" s="36">
        <v>71.623000000000005</v>
      </c>
      <c r="F16" s="38">
        <f>33.289+7.35</f>
        <v>40.639000000000003</v>
      </c>
      <c r="G16" s="36">
        <v>301.83600000000001</v>
      </c>
      <c r="H16" s="36">
        <v>43.95</v>
      </c>
      <c r="I16" s="36"/>
      <c r="J16" s="36"/>
      <c r="K16" s="36"/>
      <c r="L16" s="36"/>
      <c r="M16" s="36"/>
      <c r="N16" s="36"/>
      <c r="P16" s="30">
        <f t="shared" si="0"/>
        <v>7940.848</v>
      </c>
    </row>
    <row r="17" spans="1:16" x14ac:dyDescent="0.25">
      <c r="A17" s="78">
        <v>36831</v>
      </c>
      <c r="B17" s="37">
        <v>3568.8</v>
      </c>
      <c r="C17" s="36">
        <v>3568.8</v>
      </c>
      <c r="D17" s="38">
        <v>354.84</v>
      </c>
      <c r="E17" s="36">
        <v>76</v>
      </c>
      <c r="F17" s="38">
        <f>20.88+7.4</f>
        <v>28.28</v>
      </c>
      <c r="G17" s="36">
        <v>453.82799999999997</v>
      </c>
      <c r="H17" s="36">
        <v>54.78</v>
      </c>
      <c r="I17" s="36"/>
      <c r="J17" s="36"/>
      <c r="K17" s="36"/>
      <c r="L17" s="36"/>
      <c r="M17" s="36"/>
      <c r="N17" s="36"/>
      <c r="P17" s="30">
        <f t="shared" si="0"/>
        <v>8105.3280000000004</v>
      </c>
    </row>
    <row r="18" spans="1:16" x14ac:dyDescent="0.25">
      <c r="A18" s="78">
        <v>36861</v>
      </c>
      <c r="B18" s="37">
        <v>3006.9</v>
      </c>
      <c r="C18" s="36">
        <v>3006.9</v>
      </c>
      <c r="D18" s="38">
        <v>427.55</v>
      </c>
      <c r="E18" s="36">
        <v>128.39400000000001</v>
      </c>
      <c r="F18" s="38">
        <f>38.865+24.12</f>
        <v>62.984999999999999</v>
      </c>
      <c r="G18" s="36">
        <v>518.73900000000003</v>
      </c>
      <c r="H18" s="36">
        <v>62.148000000000003</v>
      </c>
      <c r="I18" s="36"/>
      <c r="J18" s="36"/>
      <c r="K18" s="36"/>
      <c r="L18" s="36"/>
      <c r="M18" s="36"/>
      <c r="N18" s="36"/>
      <c r="P18" s="30">
        <f t="shared" si="0"/>
        <v>7213.6160000000009</v>
      </c>
    </row>
    <row r="19" spans="1:16" x14ac:dyDescent="0.25">
      <c r="A19" s="78">
        <v>36892</v>
      </c>
      <c r="B19" s="39">
        <v>2975.9520000000002</v>
      </c>
      <c r="C19" s="36">
        <v>4030.9</v>
      </c>
      <c r="D19" s="38">
        <v>161.79</v>
      </c>
      <c r="E19" s="36">
        <v>190.40799999999999</v>
      </c>
      <c r="F19" s="40">
        <f>79.755+16.89</f>
        <v>96.644999999999996</v>
      </c>
      <c r="G19" s="36">
        <v>561</v>
      </c>
      <c r="H19" s="36">
        <v>83.903999999999996</v>
      </c>
      <c r="I19" s="36"/>
      <c r="J19" s="36"/>
      <c r="K19" s="36"/>
      <c r="L19" s="36"/>
      <c r="M19" s="36"/>
      <c r="N19" s="36"/>
      <c r="P19" s="30">
        <f t="shared" si="0"/>
        <v>8100.599000000002</v>
      </c>
    </row>
    <row r="20" spans="1:16" x14ac:dyDescent="0.25">
      <c r="A20" s="78">
        <v>36923</v>
      </c>
      <c r="B20" s="39">
        <v>665</v>
      </c>
      <c r="C20" s="36">
        <v>4683</v>
      </c>
      <c r="D20" s="38">
        <v>186</v>
      </c>
      <c r="E20" s="36">
        <v>110</v>
      </c>
      <c r="F20" s="40">
        <v>120</v>
      </c>
      <c r="G20" s="36">
        <v>650</v>
      </c>
      <c r="H20" s="36">
        <v>88</v>
      </c>
      <c r="I20" s="36"/>
      <c r="J20" s="36"/>
      <c r="K20" s="36"/>
      <c r="L20" s="36"/>
      <c r="M20" s="36"/>
      <c r="N20" s="36"/>
      <c r="P20" s="30">
        <f t="shared" si="0"/>
        <v>6502</v>
      </c>
    </row>
    <row r="21" spans="1:16" x14ac:dyDescent="0.25">
      <c r="A21" s="78">
        <v>36951</v>
      </c>
      <c r="B21" s="39">
        <v>3041.136</v>
      </c>
      <c r="C21" s="36">
        <v>3781.6</v>
      </c>
      <c r="D21" s="38">
        <v>478.15499999999997</v>
      </c>
      <c r="E21" s="36">
        <v>100.336</v>
      </c>
      <c r="F21" s="38">
        <f>93.9+7.94</f>
        <v>101.84</v>
      </c>
      <c r="G21" s="36">
        <v>361</v>
      </c>
      <c r="H21" s="36">
        <v>67.668000000000006</v>
      </c>
      <c r="I21" s="36"/>
      <c r="J21" s="36"/>
      <c r="K21" s="36"/>
      <c r="L21" s="36"/>
      <c r="M21" s="36"/>
      <c r="N21" s="36"/>
      <c r="P21" s="30">
        <f t="shared" si="0"/>
        <v>7931.7349999999997</v>
      </c>
    </row>
    <row r="22" spans="1:16" x14ac:dyDescent="0.25">
      <c r="A22" s="78">
        <v>36982</v>
      </c>
      <c r="B22" s="39">
        <v>2859</v>
      </c>
      <c r="C22" s="36">
        <v>5644</v>
      </c>
      <c r="D22" s="38">
        <v>402</v>
      </c>
      <c r="E22" s="36">
        <v>144</v>
      </c>
      <c r="F22" s="38">
        <v>134</v>
      </c>
      <c r="G22" s="36">
        <v>632</v>
      </c>
      <c r="H22" s="36">
        <v>79</v>
      </c>
      <c r="I22" s="36"/>
      <c r="J22" s="36"/>
      <c r="K22" s="36"/>
      <c r="L22" s="36"/>
      <c r="M22" s="36"/>
      <c r="N22" s="36"/>
      <c r="P22" s="30">
        <f t="shared" si="0"/>
        <v>9894</v>
      </c>
    </row>
    <row r="23" spans="1:16" x14ac:dyDescent="0.25">
      <c r="A23" s="78">
        <v>37012</v>
      </c>
      <c r="B23" s="39">
        <v>3019</v>
      </c>
      <c r="C23" s="36">
        <v>6877</v>
      </c>
      <c r="D23" s="38">
        <v>541</v>
      </c>
      <c r="E23" s="36">
        <v>124</v>
      </c>
      <c r="F23" s="38">
        <v>133</v>
      </c>
      <c r="G23" s="36">
        <v>608</v>
      </c>
      <c r="H23" s="36">
        <v>72</v>
      </c>
      <c r="I23" s="36"/>
      <c r="J23" s="36"/>
      <c r="K23" s="36"/>
      <c r="L23" s="36"/>
      <c r="M23" s="36"/>
      <c r="N23" s="36"/>
      <c r="P23" s="30">
        <f t="shared" si="0"/>
        <v>11374</v>
      </c>
    </row>
    <row r="24" spans="1:16" x14ac:dyDescent="0.25">
      <c r="A24" s="78">
        <v>37043</v>
      </c>
      <c r="B24" s="39">
        <v>3500</v>
      </c>
      <c r="C24" s="36">
        <v>5036</v>
      </c>
      <c r="D24" s="38">
        <v>213</v>
      </c>
      <c r="E24" s="36">
        <v>103</v>
      </c>
      <c r="F24" s="38">
        <v>114</v>
      </c>
      <c r="G24" s="36">
        <v>610</v>
      </c>
      <c r="H24" s="36">
        <v>73</v>
      </c>
      <c r="I24" s="36"/>
      <c r="J24" s="36"/>
      <c r="K24" s="36"/>
      <c r="L24" s="36"/>
      <c r="M24" s="36"/>
      <c r="N24" s="36"/>
      <c r="P24" s="30">
        <f t="shared" si="0"/>
        <v>9649</v>
      </c>
    </row>
    <row r="25" spans="1:16" x14ac:dyDescent="0.25">
      <c r="A25" s="78">
        <v>37073</v>
      </c>
      <c r="B25" s="37">
        <v>3635</v>
      </c>
      <c r="C25" s="36">
        <v>4486</v>
      </c>
      <c r="D25" s="36">
        <v>226</v>
      </c>
      <c r="E25" s="36">
        <v>72</v>
      </c>
      <c r="F25" s="36">
        <v>99</v>
      </c>
      <c r="G25" s="36">
        <v>425</v>
      </c>
      <c r="H25" s="36">
        <v>62</v>
      </c>
      <c r="I25" s="36"/>
      <c r="J25" s="36"/>
      <c r="K25" s="36"/>
      <c r="L25" s="36"/>
      <c r="M25" s="36"/>
      <c r="N25" s="36"/>
      <c r="P25" s="30">
        <f t="shared" si="0"/>
        <v>9005</v>
      </c>
    </row>
    <row r="26" spans="1:16" x14ac:dyDescent="0.25">
      <c r="A26" s="78">
        <v>37104</v>
      </c>
      <c r="B26" s="39">
        <v>3493.8719999999998</v>
      </c>
      <c r="C26" s="36">
        <v>4730.3999999999996</v>
      </c>
      <c r="D26" s="82"/>
      <c r="E26" s="36">
        <v>50.07</v>
      </c>
      <c r="F26" s="38">
        <f>68.88+24</f>
        <v>92.88</v>
      </c>
      <c r="G26" s="36">
        <v>445.86399999999998</v>
      </c>
      <c r="H26" s="36">
        <v>48.517000000000003</v>
      </c>
      <c r="I26" s="36"/>
      <c r="J26" s="36"/>
      <c r="K26" s="36"/>
      <c r="L26" s="36"/>
      <c r="M26" s="36"/>
      <c r="N26" s="36"/>
      <c r="P26" s="30">
        <f t="shared" si="0"/>
        <v>8861.6029999999973</v>
      </c>
    </row>
    <row r="27" spans="1:16" x14ac:dyDescent="0.25">
      <c r="A27" s="78">
        <v>37135</v>
      </c>
      <c r="B27" s="39">
        <v>3741.2420000000002</v>
      </c>
      <c r="C27" s="36">
        <v>4875</v>
      </c>
      <c r="D27" s="41">
        <v>128.25</v>
      </c>
      <c r="E27" s="36">
        <v>59.173999999999999</v>
      </c>
      <c r="F27" s="36">
        <f>45.27+24.35</f>
        <v>69.62</v>
      </c>
      <c r="G27" s="42">
        <v>462</v>
      </c>
      <c r="H27" s="36">
        <v>63.264000000000003</v>
      </c>
      <c r="I27" s="36"/>
      <c r="J27" s="36"/>
      <c r="K27" s="36"/>
      <c r="L27" s="36"/>
      <c r="M27" s="36"/>
      <c r="N27" s="36"/>
      <c r="P27" s="30">
        <f t="shared" si="0"/>
        <v>9398.5500000000011</v>
      </c>
    </row>
    <row r="28" spans="1:16" x14ac:dyDescent="0.25">
      <c r="A28" s="78">
        <v>37165</v>
      </c>
      <c r="B28" s="39">
        <v>3917.232</v>
      </c>
      <c r="C28" s="36">
        <v>5728.7</v>
      </c>
      <c r="D28" s="43">
        <v>262.42500000000001</v>
      </c>
      <c r="E28" s="44">
        <v>65</v>
      </c>
      <c r="F28" s="36">
        <v>64.680000000000007</v>
      </c>
      <c r="G28" s="42">
        <v>485</v>
      </c>
      <c r="H28" s="36">
        <v>82.26</v>
      </c>
      <c r="I28" s="36"/>
      <c r="J28" s="36"/>
      <c r="K28" s="36"/>
      <c r="L28" s="36"/>
      <c r="M28" s="36"/>
      <c r="N28" s="36"/>
      <c r="P28" s="30">
        <f t="shared" si="0"/>
        <v>10605.297</v>
      </c>
    </row>
    <row r="29" spans="1:16" x14ac:dyDescent="0.25">
      <c r="A29" s="78">
        <v>37196</v>
      </c>
      <c r="B29" s="39">
        <v>4292.0280000000002</v>
      </c>
      <c r="C29" s="36">
        <v>6126.6</v>
      </c>
      <c r="D29" s="45">
        <v>224.71</v>
      </c>
      <c r="E29" s="44">
        <v>75.599999999999994</v>
      </c>
      <c r="F29" s="36">
        <f>92.455+41.3</f>
        <v>133.755</v>
      </c>
      <c r="G29" s="42">
        <v>476.34500000000003</v>
      </c>
      <c r="H29" s="36">
        <v>51.816000000000003</v>
      </c>
      <c r="I29" s="36"/>
      <c r="J29" s="36"/>
      <c r="K29" s="36"/>
      <c r="L29" s="36"/>
      <c r="M29" s="36"/>
      <c r="N29" s="36"/>
      <c r="P29" s="30">
        <f t="shared" si="0"/>
        <v>11380.853999999999</v>
      </c>
    </row>
    <row r="30" spans="1:16" x14ac:dyDescent="0.25">
      <c r="A30" s="78">
        <v>37226</v>
      </c>
      <c r="B30" s="39">
        <v>4189.5360000000001</v>
      </c>
      <c r="C30" s="36">
        <v>6669.5</v>
      </c>
      <c r="D30" s="45">
        <v>134.07</v>
      </c>
      <c r="E30" s="44">
        <v>144.24100000000001</v>
      </c>
      <c r="F30" s="36">
        <f>131.01+42.3</f>
        <v>173.31</v>
      </c>
      <c r="G30" s="42">
        <v>477.88600000000002</v>
      </c>
      <c r="H30" s="36">
        <v>57.527999999999999</v>
      </c>
      <c r="I30" s="36"/>
      <c r="J30" s="36"/>
      <c r="K30" s="36"/>
      <c r="L30" s="36"/>
      <c r="M30" s="36"/>
      <c r="N30" s="36"/>
      <c r="P30" s="30">
        <f t="shared" si="0"/>
        <v>11846.071</v>
      </c>
    </row>
    <row r="31" spans="1:16" x14ac:dyDescent="0.25">
      <c r="A31" s="78">
        <v>37257</v>
      </c>
      <c r="B31" s="39">
        <v>5504.94</v>
      </c>
      <c r="C31" s="48">
        <v>8451.9</v>
      </c>
      <c r="D31" s="45">
        <v>79.05</v>
      </c>
      <c r="E31" s="44">
        <v>144.37899999999999</v>
      </c>
      <c r="F31" s="36">
        <f>104.13+69.6</f>
        <v>173.73</v>
      </c>
      <c r="G31" s="42">
        <v>632.31600000000003</v>
      </c>
      <c r="H31" s="36">
        <v>63.88</v>
      </c>
      <c r="I31" s="36"/>
      <c r="J31" s="36"/>
      <c r="K31" s="36"/>
      <c r="L31" s="47" t="s">
        <v>38</v>
      </c>
      <c r="M31" s="47"/>
      <c r="N31" s="47"/>
      <c r="P31" s="30">
        <f t="shared" si="0"/>
        <v>15050.195</v>
      </c>
    </row>
    <row r="32" spans="1:16" x14ac:dyDescent="0.25">
      <c r="A32" s="78">
        <v>37288</v>
      </c>
      <c r="B32" s="39">
        <v>4729.32</v>
      </c>
      <c r="C32" s="48">
        <v>6082.1</v>
      </c>
      <c r="D32" s="45">
        <v>322.86</v>
      </c>
      <c r="E32" s="44">
        <v>115.96899999999999</v>
      </c>
      <c r="F32" s="36">
        <v>153.84</v>
      </c>
      <c r="G32" s="42">
        <v>568.49400000000003</v>
      </c>
      <c r="H32" s="36">
        <v>70.516000000000005</v>
      </c>
      <c r="I32" s="36"/>
      <c r="J32" s="36"/>
      <c r="K32" s="36"/>
      <c r="L32" s="47" t="s">
        <v>38</v>
      </c>
      <c r="M32" s="47"/>
      <c r="N32" s="47"/>
      <c r="P32" s="30">
        <f t="shared" si="0"/>
        <v>12043.099</v>
      </c>
    </row>
    <row r="33" spans="1:17" x14ac:dyDescent="0.25">
      <c r="A33" s="78">
        <v>37316</v>
      </c>
      <c r="B33" s="39">
        <v>5168</v>
      </c>
      <c r="C33" s="48">
        <v>4101.6000000000004</v>
      </c>
      <c r="D33" s="45">
        <v>322.86</v>
      </c>
      <c r="E33" s="44">
        <v>112.4</v>
      </c>
      <c r="F33" s="36">
        <v>110.8</v>
      </c>
      <c r="G33" s="42">
        <v>429.97300000000001</v>
      </c>
      <c r="H33" s="36">
        <v>68.099999999999994</v>
      </c>
      <c r="I33" s="36"/>
      <c r="J33" s="36"/>
      <c r="K33" s="36"/>
      <c r="L33" s="47" t="s">
        <v>38</v>
      </c>
      <c r="M33" s="47"/>
      <c r="N33" s="47"/>
      <c r="P33" s="30">
        <f t="shared" si="0"/>
        <v>10313.733</v>
      </c>
    </row>
    <row r="34" spans="1:17" x14ac:dyDescent="0.25">
      <c r="A34" s="78">
        <v>37347</v>
      </c>
      <c r="B34" s="37">
        <v>4234.8959999999997</v>
      </c>
      <c r="C34" s="36">
        <v>7003.1319999999996</v>
      </c>
      <c r="D34" s="45">
        <v>311</v>
      </c>
      <c r="E34" s="44">
        <v>106.812</v>
      </c>
      <c r="F34" s="36">
        <v>141</v>
      </c>
      <c r="G34" s="42">
        <v>486.77199999999999</v>
      </c>
      <c r="H34" s="36">
        <v>48.96</v>
      </c>
      <c r="I34" s="36"/>
      <c r="J34" s="36"/>
      <c r="K34" s="36"/>
      <c r="L34" s="47" t="s">
        <v>38</v>
      </c>
      <c r="M34" s="47"/>
      <c r="N34" s="47"/>
      <c r="P34" s="30">
        <f t="shared" si="0"/>
        <v>12332.571999999998</v>
      </c>
    </row>
    <row r="35" spans="1:17" x14ac:dyDescent="0.25">
      <c r="A35" s="78">
        <v>37377</v>
      </c>
      <c r="B35" s="39">
        <v>3631.14</v>
      </c>
      <c r="C35" s="36">
        <v>8123.4</v>
      </c>
      <c r="D35" s="45">
        <v>270.375</v>
      </c>
      <c r="E35" s="44">
        <v>96</v>
      </c>
      <c r="F35" s="36">
        <v>150.5</v>
      </c>
      <c r="G35" s="42">
        <v>481.02499999999998</v>
      </c>
      <c r="H35" s="36">
        <v>112</v>
      </c>
      <c r="I35" s="36"/>
      <c r="J35" s="36"/>
      <c r="K35" s="36"/>
      <c r="L35" s="47" t="s">
        <v>38</v>
      </c>
      <c r="M35" s="47"/>
      <c r="N35" s="47"/>
      <c r="P35" s="30">
        <f t="shared" si="0"/>
        <v>12864.439999999999</v>
      </c>
    </row>
    <row r="36" spans="1:17" x14ac:dyDescent="0.25">
      <c r="A36" s="78">
        <v>37408</v>
      </c>
      <c r="B36" s="39">
        <v>3199.3919999999998</v>
      </c>
      <c r="C36" s="36">
        <v>5827.8</v>
      </c>
      <c r="D36" s="45">
        <v>298.5</v>
      </c>
      <c r="E36" s="44">
        <v>97.125</v>
      </c>
      <c r="F36" s="36">
        <v>146.26499999999999</v>
      </c>
      <c r="G36" s="42">
        <v>313.36200000000002</v>
      </c>
      <c r="H36" s="36">
        <v>84.944000000000003</v>
      </c>
      <c r="I36" s="36"/>
      <c r="J36" s="36"/>
      <c r="K36" s="36"/>
      <c r="L36" s="47" t="s">
        <v>38</v>
      </c>
      <c r="M36" s="47"/>
      <c r="N36" s="47"/>
      <c r="P36" s="30">
        <f t="shared" si="0"/>
        <v>9967.3879999999972</v>
      </c>
    </row>
    <row r="37" spans="1:17" x14ac:dyDescent="0.25">
      <c r="A37" s="78">
        <v>37438</v>
      </c>
      <c r="B37" s="39">
        <v>3742.8420000000001</v>
      </c>
      <c r="C37" s="36">
        <v>5691.7</v>
      </c>
      <c r="D37" s="45">
        <v>276.14999999999998</v>
      </c>
      <c r="E37" s="44">
        <v>99.46</v>
      </c>
      <c r="F37" s="36">
        <v>118.32</v>
      </c>
      <c r="G37" s="42">
        <v>365.52</v>
      </c>
      <c r="H37" s="36">
        <v>70</v>
      </c>
      <c r="I37" s="36"/>
      <c r="J37" s="36"/>
      <c r="K37" s="36"/>
      <c r="L37" s="47" t="s">
        <v>38</v>
      </c>
      <c r="M37" s="47"/>
      <c r="N37" s="47"/>
      <c r="P37" s="30">
        <f t="shared" si="0"/>
        <v>10363.991999999998</v>
      </c>
    </row>
    <row r="38" spans="1:17" x14ac:dyDescent="0.25">
      <c r="A38" s="78">
        <v>37469</v>
      </c>
      <c r="B38" s="39">
        <v>3226</v>
      </c>
      <c r="C38" s="36">
        <v>5060</v>
      </c>
      <c r="D38" s="45">
        <v>127</v>
      </c>
      <c r="E38" s="44">
        <v>67</v>
      </c>
      <c r="F38" s="36">
        <v>106</v>
      </c>
      <c r="G38" s="42">
        <v>387</v>
      </c>
      <c r="H38" s="36">
        <v>81</v>
      </c>
      <c r="I38" s="36"/>
      <c r="J38" s="36"/>
      <c r="K38" s="36"/>
      <c r="L38" s="47" t="s">
        <v>38</v>
      </c>
      <c r="M38" s="47"/>
      <c r="N38" s="47"/>
      <c r="P38" s="30">
        <f t="shared" si="0"/>
        <v>9054</v>
      </c>
    </row>
    <row r="39" spans="1:17" x14ac:dyDescent="0.25">
      <c r="A39" s="78">
        <v>37500</v>
      </c>
      <c r="B39" s="39">
        <v>2914.1640000000002</v>
      </c>
      <c r="C39" s="36">
        <v>4692.8</v>
      </c>
      <c r="D39" s="45">
        <v>359.53500000000003</v>
      </c>
      <c r="E39" s="44">
        <v>117.032</v>
      </c>
      <c r="F39" s="36">
        <v>74.685000000000002</v>
      </c>
      <c r="G39" s="42">
        <v>412.34500000000003</v>
      </c>
      <c r="H39" s="36">
        <v>80.337999999999994</v>
      </c>
      <c r="I39" s="36"/>
      <c r="J39" s="36"/>
      <c r="K39" s="36"/>
      <c r="L39" s="47" t="s">
        <v>38</v>
      </c>
      <c r="M39" s="47"/>
      <c r="N39" s="47"/>
      <c r="P39" s="30">
        <f t="shared" ref="P39:P70" si="1">B39+C39+D39+E39+F39+G39+H39</f>
        <v>8650.8989999999994</v>
      </c>
    </row>
    <row r="40" spans="1:17" x14ac:dyDescent="0.25">
      <c r="A40" s="78">
        <v>37530</v>
      </c>
      <c r="B40" s="39">
        <v>2972.3040000000001</v>
      </c>
      <c r="C40" s="36">
        <v>4511.8999999999996</v>
      </c>
      <c r="D40" s="45">
        <v>421.63200000000001</v>
      </c>
      <c r="E40" s="44">
        <v>128.55600000000001</v>
      </c>
      <c r="F40" s="36">
        <v>32.369999999999997</v>
      </c>
      <c r="G40" s="42">
        <v>465.23099999999999</v>
      </c>
      <c r="H40" s="36">
        <v>74.256</v>
      </c>
      <c r="I40" s="36"/>
      <c r="J40" s="36"/>
      <c r="K40" s="36"/>
      <c r="L40" s="47" t="s">
        <v>38</v>
      </c>
      <c r="M40" s="47"/>
      <c r="N40" s="47"/>
      <c r="P40" s="30">
        <f t="shared" si="1"/>
        <v>8606.248999999998</v>
      </c>
    </row>
    <row r="41" spans="1:17" x14ac:dyDescent="0.25">
      <c r="A41" s="78">
        <v>37561</v>
      </c>
      <c r="B41" s="39">
        <v>3671.2440000000001</v>
      </c>
      <c r="C41" s="36">
        <v>4190.7</v>
      </c>
      <c r="D41" s="45">
        <v>290.58</v>
      </c>
      <c r="E41" s="44">
        <v>146.25</v>
      </c>
      <c r="F41" s="38">
        <v>39.914999999999999</v>
      </c>
      <c r="G41" s="44">
        <v>526.34100000000001</v>
      </c>
      <c r="H41" s="36">
        <v>83.244</v>
      </c>
      <c r="I41" s="36"/>
      <c r="J41" s="36"/>
      <c r="K41" s="36"/>
      <c r="L41" s="47" t="s">
        <v>38</v>
      </c>
      <c r="M41" s="47"/>
      <c r="N41" s="47"/>
      <c r="P41" s="30">
        <f t="shared" si="1"/>
        <v>8948.2740000000013</v>
      </c>
    </row>
    <row r="42" spans="1:17" x14ac:dyDescent="0.25">
      <c r="A42" s="78">
        <v>37591</v>
      </c>
      <c r="B42" s="39">
        <v>3823.884</v>
      </c>
      <c r="C42" s="36">
        <v>4345.3999999999996</v>
      </c>
      <c r="D42" s="45">
        <v>285.75</v>
      </c>
      <c r="E42" s="44">
        <v>100.92700000000001</v>
      </c>
      <c r="F42" s="38">
        <v>48.6</v>
      </c>
      <c r="G42" s="44">
        <v>447.47199999999998</v>
      </c>
      <c r="H42" s="36">
        <v>53.225999999999999</v>
      </c>
      <c r="I42" s="36"/>
      <c r="J42" s="36"/>
      <c r="K42" s="36"/>
      <c r="L42" s="47" t="s">
        <v>38</v>
      </c>
      <c r="M42" s="47"/>
      <c r="N42" s="47"/>
      <c r="P42" s="30">
        <f t="shared" si="1"/>
        <v>9105.259</v>
      </c>
    </row>
    <row r="43" spans="1:17" x14ac:dyDescent="0.25">
      <c r="A43" s="78">
        <v>37622</v>
      </c>
      <c r="B43" s="51">
        <v>3824.86</v>
      </c>
      <c r="C43" s="48">
        <v>4328.8999999999996</v>
      </c>
      <c r="D43" s="52">
        <v>346.58</v>
      </c>
      <c r="E43" s="46">
        <v>48.6</v>
      </c>
      <c r="F43" s="40">
        <f>133.17+42</f>
        <v>175.17</v>
      </c>
      <c r="G43" s="46">
        <v>460.32</v>
      </c>
      <c r="H43" s="48">
        <v>98.412000000000006</v>
      </c>
      <c r="I43" s="48"/>
      <c r="J43" s="48"/>
      <c r="K43" s="48"/>
      <c r="L43" s="47" t="s">
        <v>38</v>
      </c>
      <c r="M43" s="47"/>
      <c r="N43" s="47"/>
      <c r="P43" s="30">
        <f t="shared" si="1"/>
        <v>9282.8420000000006</v>
      </c>
    </row>
    <row r="44" spans="1:17" x14ac:dyDescent="0.25">
      <c r="A44" s="78">
        <v>37653</v>
      </c>
      <c r="B44" s="51">
        <v>3735.828</v>
      </c>
      <c r="C44" s="48">
        <v>3941</v>
      </c>
      <c r="D44" s="52">
        <v>295.23</v>
      </c>
      <c r="E44" s="46">
        <v>72</v>
      </c>
      <c r="F44" s="40">
        <f>163.97+40</f>
        <v>203.97</v>
      </c>
      <c r="G44" s="46">
        <v>362.51400000000001</v>
      </c>
      <c r="H44" s="48">
        <v>94</v>
      </c>
      <c r="I44" s="48"/>
      <c r="J44" s="48"/>
      <c r="K44" s="48"/>
      <c r="L44" s="47" t="s">
        <v>38</v>
      </c>
      <c r="M44" s="47"/>
      <c r="N44" s="47"/>
      <c r="P44" s="30">
        <f t="shared" si="1"/>
        <v>8704.5419999999976</v>
      </c>
    </row>
    <row r="45" spans="1:17" x14ac:dyDescent="0.25">
      <c r="A45" s="78">
        <v>37681</v>
      </c>
      <c r="B45" s="51">
        <v>4986.7560000000003</v>
      </c>
      <c r="C45" s="48">
        <v>4441.1000000000004</v>
      </c>
      <c r="D45" s="52">
        <v>234.18</v>
      </c>
      <c r="E45" s="46">
        <v>150.66149999999999</v>
      </c>
      <c r="F45" s="40">
        <f>111.965+42.2</f>
        <v>154.16500000000002</v>
      </c>
      <c r="G45" s="46">
        <v>302.24799999999999</v>
      </c>
      <c r="H45" s="48">
        <v>98.304000000000002</v>
      </c>
      <c r="I45" s="48"/>
      <c r="J45" s="48"/>
      <c r="K45" s="48"/>
      <c r="L45" s="47" t="s">
        <v>38</v>
      </c>
      <c r="M45" s="47"/>
      <c r="N45" s="47"/>
      <c r="P45" s="30">
        <f t="shared" si="1"/>
        <v>10367.414500000001</v>
      </c>
    </row>
    <row r="46" spans="1:17" x14ac:dyDescent="0.25">
      <c r="A46" s="78">
        <v>37712</v>
      </c>
      <c r="B46" s="51">
        <v>5229</v>
      </c>
      <c r="C46" s="48">
        <v>3828</v>
      </c>
      <c r="D46" s="52">
        <v>273</v>
      </c>
      <c r="E46" s="46">
        <v>92</v>
      </c>
      <c r="F46" s="40">
        <f>89+26</f>
        <v>115</v>
      </c>
      <c r="G46" s="46">
        <v>337</v>
      </c>
      <c r="H46" s="48">
        <v>83</v>
      </c>
      <c r="I46" s="48"/>
      <c r="J46" s="48"/>
      <c r="K46" s="48"/>
      <c r="L46" s="47" t="s">
        <v>38</v>
      </c>
      <c r="M46" s="47"/>
      <c r="N46" s="47"/>
      <c r="P46" s="30">
        <f t="shared" si="1"/>
        <v>9957</v>
      </c>
    </row>
    <row r="47" spans="1:17" x14ac:dyDescent="0.25">
      <c r="A47" s="78">
        <v>37742</v>
      </c>
      <c r="B47" s="51">
        <v>5456</v>
      </c>
      <c r="C47" s="48">
        <v>3166</v>
      </c>
      <c r="D47" s="52">
        <v>261</v>
      </c>
      <c r="E47" s="46">
        <v>92</v>
      </c>
      <c r="F47" s="40">
        <f>83+25</f>
        <v>108</v>
      </c>
      <c r="G47" s="46">
        <v>491</v>
      </c>
      <c r="H47" s="48">
        <v>91</v>
      </c>
      <c r="I47" s="48"/>
      <c r="J47" s="48"/>
      <c r="K47" s="48"/>
      <c r="L47" s="47" t="s">
        <v>38</v>
      </c>
      <c r="M47" s="47"/>
      <c r="N47" s="47"/>
      <c r="P47" s="30">
        <f t="shared" si="1"/>
        <v>9665</v>
      </c>
      <c r="Q47" s="11"/>
    </row>
    <row r="48" spans="1:17" x14ac:dyDescent="0.25">
      <c r="A48" s="78">
        <v>37773</v>
      </c>
      <c r="B48" s="51">
        <v>3564</v>
      </c>
      <c r="C48" s="48">
        <v>1661</v>
      </c>
      <c r="D48" s="52">
        <v>290</v>
      </c>
      <c r="E48" s="46">
        <v>110</v>
      </c>
      <c r="F48" s="40">
        <f>80+34</f>
        <v>114</v>
      </c>
      <c r="G48" s="46">
        <v>439</v>
      </c>
      <c r="H48" s="48">
        <v>101</v>
      </c>
      <c r="I48" s="48"/>
      <c r="J48" s="48"/>
      <c r="K48" s="48"/>
      <c r="L48" s="47" t="s">
        <v>38</v>
      </c>
      <c r="M48" s="47"/>
      <c r="N48" s="47"/>
      <c r="P48" s="30">
        <f t="shared" si="1"/>
        <v>6279</v>
      </c>
      <c r="Q48" s="11"/>
    </row>
    <row r="49" spans="1:17" x14ac:dyDescent="0.25">
      <c r="A49" s="78">
        <v>37803</v>
      </c>
      <c r="B49" s="53">
        <v>1152</v>
      </c>
      <c r="C49" s="48">
        <v>5185.8</v>
      </c>
      <c r="D49" s="52">
        <v>260.82</v>
      </c>
      <c r="E49" s="46">
        <v>72.430000000000007</v>
      </c>
      <c r="F49" s="40">
        <f>73.065+38.9</f>
        <v>111.965</v>
      </c>
      <c r="G49" s="46">
        <v>407</v>
      </c>
      <c r="H49" s="48">
        <v>92</v>
      </c>
      <c r="I49" s="48"/>
      <c r="J49" s="48"/>
      <c r="K49" s="48"/>
      <c r="L49" s="47" t="s">
        <v>38</v>
      </c>
      <c r="M49" s="47"/>
      <c r="N49" s="47"/>
      <c r="P49" s="30">
        <f t="shared" si="1"/>
        <v>7282.0150000000003</v>
      </c>
      <c r="Q49" s="11"/>
    </row>
    <row r="50" spans="1:17" x14ac:dyDescent="0.25">
      <c r="A50" s="78">
        <v>37834</v>
      </c>
      <c r="B50" s="53">
        <v>2719</v>
      </c>
      <c r="C50" s="48">
        <v>4342</v>
      </c>
      <c r="D50" s="52">
        <v>463</v>
      </c>
      <c r="E50" s="46">
        <v>70</v>
      </c>
      <c r="F50" s="40">
        <f>63.435+31.2</f>
        <v>94.635000000000005</v>
      </c>
      <c r="G50" s="46">
        <v>241</v>
      </c>
      <c r="H50" s="48">
        <v>94</v>
      </c>
      <c r="I50" s="48"/>
      <c r="J50" s="48"/>
      <c r="K50" s="48"/>
      <c r="L50" s="47" t="s">
        <v>38</v>
      </c>
      <c r="M50" s="47"/>
      <c r="N50" s="47"/>
      <c r="P50" s="30">
        <f t="shared" si="1"/>
        <v>8023.6350000000002</v>
      </c>
      <c r="Q50" s="11"/>
    </row>
    <row r="51" spans="1:17" x14ac:dyDescent="0.25">
      <c r="A51" s="78">
        <v>37865</v>
      </c>
      <c r="B51" s="53">
        <v>2805</v>
      </c>
      <c r="C51" s="48">
        <v>4240</v>
      </c>
      <c r="D51" s="52">
        <v>387</v>
      </c>
      <c r="E51" s="46">
        <v>89</v>
      </c>
      <c r="F51" s="40">
        <f>27+38</f>
        <v>65</v>
      </c>
      <c r="G51" s="46">
        <v>262</v>
      </c>
      <c r="H51" s="48">
        <v>91</v>
      </c>
      <c r="I51" s="48"/>
      <c r="J51" s="48"/>
      <c r="K51" s="48"/>
      <c r="L51" s="47" t="s">
        <v>38</v>
      </c>
      <c r="M51" s="47"/>
      <c r="N51" s="47"/>
      <c r="P51" s="30">
        <f t="shared" si="1"/>
        <v>7939</v>
      </c>
      <c r="Q51" s="11"/>
    </row>
    <row r="52" spans="1:17" x14ac:dyDescent="0.25">
      <c r="A52" s="78">
        <v>37895</v>
      </c>
      <c r="B52" s="53">
        <v>3472</v>
      </c>
      <c r="C52" s="48">
        <v>4213</v>
      </c>
      <c r="D52" s="52">
        <v>286</v>
      </c>
      <c r="E52" s="46">
        <v>121</v>
      </c>
      <c r="F52" s="40">
        <f>58+22</f>
        <v>80</v>
      </c>
      <c r="G52" s="46">
        <v>342</v>
      </c>
      <c r="H52" s="48">
        <v>94</v>
      </c>
      <c r="I52" s="48"/>
      <c r="J52" s="48"/>
      <c r="K52" s="48"/>
      <c r="L52" s="47" t="s">
        <v>38</v>
      </c>
      <c r="M52" s="47"/>
      <c r="N52" s="47"/>
      <c r="P52" s="30">
        <f t="shared" si="1"/>
        <v>8608</v>
      </c>
      <c r="Q52" s="11"/>
    </row>
    <row r="53" spans="1:17" x14ac:dyDescent="0.25">
      <c r="A53" s="78">
        <v>37926</v>
      </c>
      <c r="B53" s="53">
        <v>3118</v>
      </c>
      <c r="C53" s="48">
        <v>3843</v>
      </c>
      <c r="D53" s="52">
        <v>256</v>
      </c>
      <c r="E53" s="46">
        <v>104</v>
      </c>
      <c r="F53" s="40">
        <f>30+30</f>
        <v>60</v>
      </c>
      <c r="G53" s="46">
        <v>265</v>
      </c>
      <c r="H53" s="79"/>
      <c r="I53" s="48"/>
      <c r="J53" s="48"/>
      <c r="K53" s="48"/>
      <c r="L53" s="47" t="s">
        <v>38</v>
      </c>
      <c r="M53" s="47"/>
      <c r="N53" s="47"/>
      <c r="P53" s="30">
        <f t="shared" si="1"/>
        <v>7646</v>
      </c>
      <c r="Q53" s="11"/>
    </row>
    <row r="54" spans="1:17" x14ac:dyDescent="0.25">
      <c r="A54" s="78">
        <v>37956</v>
      </c>
      <c r="B54" s="53">
        <v>3412</v>
      </c>
      <c r="C54" s="48">
        <v>3443</v>
      </c>
      <c r="D54" s="52">
        <v>256</v>
      </c>
      <c r="E54" s="46">
        <v>91</v>
      </c>
      <c r="F54" s="40">
        <f>43+42</f>
        <v>85</v>
      </c>
      <c r="G54" s="46">
        <v>357</v>
      </c>
      <c r="H54" s="48">
        <v>73</v>
      </c>
      <c r="I54" s="48"/>
      <c r="J54" s="48"/>
      <c r="K54" s="48"/>
      <c r="L54" s="47" t="s">
        <v>38</v>
      </c>
      <c r="M54" s="47"/>
      <c r="N54" s="47"/>
      <c r="P54" s="30">
        <f t="shared" si="1"/>
        <v>7717</v>
      </c>
      <c r="Q54" s="11"/>
    </row>
    <row r="55" spans="1:17" x14ac:dyDescent="0.25">
      <c r="A55" s="78">
        <v>37987</v>
      </c>
      <c r="B55" s="53">
        <v>3609.4319999999998</v>
      </c>
      <c r="C55" s="48">
        <v>3713.6</v>
      </c>
      <c r="D55" s="52">
        <v>226.63499999999999</v>
      </c>
      <c r="E55" s="46">
        <v>94.810500000000005</v>
      </c>
      <c r="F55" s="40">
        <f>130.686+24.6</f>
        <v>155.286</v>
      </c>
      <c r="G55" s="46">
        <v>344.59300000000002</v>
      </c>
      <c r="H55" s="48">
        <v>28.308</v>
      </c>
      <c r="I55" s="48"/>
      <c r="J55" s="48"/>
      <c r="K55" s="48"/>
      <c r="L55" s="47"/>
      <c r="M55" s="47"/>
      <c r="N55" s="47"/>
      <c r="P55" s="30">
        <f t="shared" si="1"/>
        <v>8172.664499999999</v>
      </c>
      <c r="Q55" s="11"/>
    </row>
    <row r="56" spans="1:17" x14ac:dyDescent="0.25">
      <c r="A56" s="78">
        <v>38018</v>
      </c>
      <c r="B56" s="53">
        <v>3292.596</v>
      </c>
      <c r="C56" s="48">
        <v>3576.9</v>
      </c>
      <c r="D56" s="52">
        <v>1.82</v>
      </c>
      <c r="E56" s="46">
        <v>85.263000000000005</v>
      </c>
      <c r="F56" s="40">
        <f>77.235+24.8</f>
        <v>102.035</v>
      </c>
      <c r="G56" s="46">
        <v>369.12700000000001</v>
      </c>
      <c r="H56" s="48">
        <v>70.44</v>
      </c>
      <c r="I56" s="48"/>
      <c r="J56" s="48"/>
      <c r="K56" s="48"/>
      <c r="L56" s="47"/>
      <c r="M56" s="47"/>
      <c r="N56" s="47"/>
      <c r="P56" s="30">
        <f t="shared" si="1"/>
        <v>7498.1809999999996</v>
      </c>
      <c r="Q56" s="11"/>
    </row>
    <row r="57" spans="1:17" x14ac:dyDescent="0.25">
      <c r="A57" s="78">
        <v>38047</v>
      </c>
      <c r="B57" s="53">
        <v>3441</v>
      </c>
      <c r="C57" s="48">
        <v>3589</v>
      </c>
      <c r="D57" s="79"/>
      <c r="E57" s="46">
        <v>93</v>
      </c>
      <c r="F57" s="40">
        <f>79+48</f>
        <v>127</v>
      </c>
      <c r="G57" s="46">
        <v>353</v>
      </c>
      <c r="H57" s="48">
        <v>84</v>
      </c>
      <c r="I57" s="48"/>
      <c r="J57" s="48"/>
      <c r="K57" s="48"/>
      <c r="L57" s="47"/>
      <c r="M57" s="47"/>
      <c r="N57" s="47"/>
      <c r="P57" s="30">
        <f t="shared" si="1"/>
        <v>7687</v>
      </c>
      <c r="Q57" s="11"/>
    </row>
    <row r="58" spans="1:17" x14ac:dyDescent="0.25">
      <c r="A58" s="78">
        <v>38078</v>
      </c>
      <c r="B58" s="53">
        <v>5271</v>
      </c>
      <c r="C58" s="48">
        <v>3660</v>
      </c>
      <c r="D58" s="79"/>
      <c r="E58" s="46">
        <v>70</v>
      </c>
      <c r="F58" s="40">
        <f>157.65+26.3</f>
        <v>183.95000000000002</v>
      </c>
      <c r="G58" s="46">
        <v>423</v>
      </c>
      <c r="H58" s="48">
        <v>81</v>
      </c>
      <c r="I58" s="48"/>
      <c r="J58" s="48"/>
      <c r="K58" s="48"/>
      <c r="L58" s="47"/>
      <c r="M58" s="47"/>
      <c r="N58" s="47"/>
      <c r="P58" s="30">
        <f t="shared" si="1"/>
        <v>9688.9500000000007</v>
      </c>
      <c r="Q58" s="11"/>
    </row>
    <row r="59" spans="1:17" x14ac:dyDescent="0.25">
      <c r="A59" s="78">
        <v>38108</v>
      </c>
      <c r="B59" s="53">
        <v>4087</v>
      </c>
      <c r="C59" s="48">
        <v>3920</v>
      </c>
      <c r="D59" s="79"/>
      <c r="E59" s="46">
        <v>92</v>
      </c>
      <c r="F59" s="40">
        <f>162+45</f>
        <v>207</v>
      </c>
      <c r="G59" s="46">
        <v>388</v>
      </c>
      <c r="H59" s="48">
        <v>100</v>
      </c>
      <c r="I59" s="48"/>
      <c r="J59" s="48"/>
      <c r="K59" s="48"/>
      <c r="L59" s="47"/>
      <c r="M59" s="47"/>
      <c r="N59" s="47"/>
      <c r="P59" s="30">
        <f t="shared" si="1"/>
        <v>8794</v>
      </c>
      <c r="Q59" s="11"/>
    </row>
    <row r="60" spans="1:17" x14ac:dyDescent="0.25">
      <c r="A60" s="78">
        <v>38139</v>
      </c>
      <c r="B60" s="53">
        <v>2721.2759999999998</v>
      </c>
      <c r="C60" s="48">
        <v>3500.2</v>
      </c>
      <c r="D60" s="79"/>
      <c r="E60" s="46">
        <v>78.191999999999993</v>
      </c>
      <c r="F60" s="40">
        <f>106.275+37.5</f>
        <v>143.77500000000001</v>
      </c>
      <c r="G60" s="46">
        <v>356.541</v>
      </c>
      <c r="H60" s="48">
        <v>118.86</v>
      </c>
      <c r="I60" s="48"/>
      <c r="J60" s="48"/>
      <c r="K60" s="48"/>
      <c r="L60" s="47"/>
      <c r="M60" s="47"/>
      <c r="N60" s="47"/>
      <c r="P60" s="30">
        <f t="shared" si="1"/>
        <v>6918.8439999999991</v>
      </c>
      <c r="Q60" s="11"/>
    </row>
    <row r="61" spans="1:17" x14ac:dyDescent="0.25">
      <c r="A61" s="78">
        <v>38169</v>
      </c>
      <c r="B61" s="53">
        <v>2340.7919999999999</v>
      </c>
      <c r="C61" s="48">
        <v>4269.1000000000004</v>
      </c>
      <c r="D61" s="79"/>
      <c r="E61" s="46">
        <v>56.877000000000002</v>
      </c>
      <c r="F61" s="40">
        <f>78.885+30.8</f>
        <v>109.685</v>
      </c>
      <c r="G61" s="46">
        <v>243.24700000000001</v>
      </c>
      <c r="H61" s="48">
        <v>81.287999999999997</v>
      </c>
      <c r="I61" s="48"/>
      <c r="J61" s="48"/>
      <c r="K61" s="48"/>
      <c r="L61" s="47"/>
      <c r="M61" s="47"/>
      <c r="N61" s="47"/>
      <c r="P61" s="30">
        <f t="shared" si="1"/>
        <v>7100.9890000000005</v>
      </c>
      <c r="Q61" s="11"/>
    </row>
    <row r="62" spans="1:17" x14ac:dyDescent="0.25">
      <c r="A62" s="78">
        <v>38200</v>
      </c>
      <c r="B62" s="53">
        <v>2114.4960000000001</v>
      </c>
      <c r="C62" s="48">
        <v>4292.6000000000004</v>
      </c>
      <c r="D62" s="50">
        <v>165.73500000000001</v>
      </c>
      <c r="E62" s="46">
        <v>82.040999999999997</v>
      </c>
      <c r="F62" s="40">
        <f>57.255+42</f>
        <v>99.254999999999995</v>
      </c>
      <c r="G62" s="46">
        <v>198.52699999999999</v>
      </c>
      <c r="H62" s="48">
        <v>85.847999999999999</v>
      </c>
      <c r="I62" s="48"/>
      <c r="J62" s="48"/>
      <c r="K62" s="48"/>
      <c r="L62" s="47"/>
      <c r="M62" s="47"/>
      <c r="N62" s="47"/>
      <c r="P62" s="30">
        <f t="shared" si="1"/>
        <v>7038.5020000000004</v>
      </c>
      <c r="Q62" s="11"/>
    </row>
    <row r="63" spans="1:17" x14ac:dyDescent="0.25">
      <c r="A63" s="78">
        <v>38231</v>
      </c>
      <c r="B63" s="53">
        <v>2878.2719999999999</v>
      </c>
      <c r="C63" s="48">
        <v>3689.9</v>
      </c>
      <c r="D63" s="50">
        <v>119.78100000000001</v>
      </c>
      <c r="E63" s="46">
        <v>79.342500000000001</v>
      </c>
      <c r="F63" s="40">
        <v>97</v>
      </c>
      <c r="G63" s="46">
        <v>200.565</v>
      </c>
      <c r="H63" s="48">
        <v>60.252000000000002</v>
      </c>
      <c r="I63" s="48"/>
      <c r="J63" s="48"/>
      <c r="K63" s="48"/>
      <c r="L63" s="47"/>
      <c r="M63" s="47"/>
      <c r="N63" s="47"/>
      <c r="P63" s="30">
        <f t="shared" si="1"/>
        <v>7125.1125000000002</v>
      </c>
      <c r="Q63" s="11"/>
    </row>
    <row r="64" spans="1:17" x14ac:dyDescent="0.25">
      <c r="A64" s="78">
        <v>38261</v>
      </c>
      <c r="B64" s="53">
        <v>2479.8960000000002</v>
      </c>
      <c r="C64" s="48">
        <v>3337.3</v>
      </c>
      <c r="D64" s="50">
        <v>241.66200000000001</v>
      </c>
      <c r="E64" s="46">
        <v>76.597499999999997</v>
      </c>
      <c r="F64" s="40">
        <f>25.44+4</f>
        <v>29.44</v>
      </c>
      <c r="G64" s="46">
        <v>286.98700000000002</v>
      </c>
      <c r="H64" s="48">
        <v>1.008</v>
      </c>
      <c r="I64" s="48"/>
      <c r="J64" s="48"/>
      <c r="K64" s="48"/>
      <c r="L64" s="47"/>
      <c r="M64" s="47"/>
      <c r="N64" s="47"/>
      <c r="P64" s="30">
        <f t="shared" si="1"/>
        <v>6452.8904999999995</v>
      </c>
      <c r="Q64" s="11"/>
    </row>
    <row r="65" spans="1:41" x14ac:dyDescent="0.25">
      <c r="A65" s="78">
        <v>38292</v>
      </c>
      <c r="B65" s="53">
        <v>3121.4879999999998</v>
      </c>
      <c r="C65" s="48">
        <v>3128.7</v>
      </c>
      <c r="D65" s="50">
        <v>193.59399999999999</v>
      </c>
      <c r="E65" s="46">
        <v>88.65</v>
      </c>
      <c r="F65" s="40">
        <f>21.285+0.992</f>
        <v>22.277000000000001</v>
      </c>
      <c r="G65" s="46">
        <v>349.01900000000001</v>
      </c>
      <c r="H65" s="48">
        <v>10.356</v>
      </c>
      <c r="I65" s="48"/>
      <c r="J65" s="48"/>
      <c r="K65" s="48"/>
      <c r="L65" s="47"/>
      <c r="M65" s="47"/>
      <c r="N65" s="47"/>
      <c r="P65" s="30">
        <f t="shared" si="1"/>
        <v>6914.0839999999998</v>
      </c>
      <c r="Q65" s="11"/>
    </row>
    <row r="66" spans="1:41" x14ac:dyDescent="0.25">
      <c r="A66" s="78">
        <v>38322</v>
      </c>
      <c r="B66" s="53">
        <v>4284.7920000000004</v>
      </c>
      <c r="C66" s="48">
        <v>3196</v>
      </c>
      <c r="D66" s="50">
        <v>255.63</v>
      </c>
      <c r="E66" s="46">
        <v>69.894999999999996</v>
      </c>
      <c r="F66" s="40">
        <f>26.4+20.016</f>
        <v>46.415999999999997</v>
      </c>
      <c r="G66" s="46">
        <v>333.22699999999998</v>
      </c>
      <c r="H66" s="48">
        <v>0.70299999999999996</v>
      </c>
      <c r="I66" s="48"/>
      <c r="J66" s="48"/>
      <c r="K66" s="48"/>
      <c r="L66" s="47"/>
      <c r="M66" s="47"/>
      <c r="N66" s="47"/>
      <c r="P66" s="30">
        <f t="shared" si="1"/>
        <v>8186.6630000000014</v>
      </c>
      <c r="Q66" s="11"/>
    </row>
    <row r="67" spans="1:41" x14ac:dyDescent="0.25">
      <c r="A67" s="78">
        <v>38353</v>
      </c>
      <c r="B67" s="53">
        <v>4784</v>
      </c>
      <c r="C67" s="48">
        <v>3198</v>
      </c>
      <c r="D67" s="50">
        <v>241</v>
      </c>
      <c r="E67" s="46">
        <v>74</v>
      </c>
      <c r="F67" s="40">
        <f>63+49</f>
        <v>112</v>
      </c>
      <c r="G67" s="46">
        <v>333</v>
      </c>
      <c r="H67" s="48">
        <v>13</v>
      </c>
      <c r="I67" s="48"/>
      <c r="J67" s="48"/>
      <c r="K67" s="48"/>
      <c r="L67" s="47" t="s">
        <v>38</v>
      </c>
      <c r="M67" s="47"/>
      <c r="N67" s="47"/>
      <c r="P67" s="30">
        <f t="shared" si="1"/>
        <v>8755</v>
      </c>
      <c r="Q67" s="11"/>
    </row>
    <row r="68" spans="1:41" x14ac:dyDescent="0.25">
      <c r="A68" s="78">
        <v>38384</v>
      </c>
      <c r="B68" s="53">
        <v>3930.5520000000001</v>
      </c>
      <c r="C68" s="48">
        <v>4070.9</v>
      </c>
      <c r="D68" s="50">
        <v>233.89500000000001</v>
      </c>
      <c r="E68" s="46">
        <v>107.3865</v>
      </c>
      <c r="F68" s="40">
        <f>50.835+53.91</f>
        <v>104.745</v>
      </c>
      <c r="G68" s="46">
        <v>303.20299999999997</v>
      </c>
      <c r="H68" s="48">
        <v>32.264000000000003</v>
      </c>
      <c r="I68" s="48"/>
      <c r="J68" s="48"/>
      <c r="K68" s="48"/>
      <c r="L68" s="47" t="s">
        <v>38</v>
      </c>
      <c r="M68" s="47"/>
      <c r="N68" s="47"/>
      <c r="P68" s="30">
        <f t="shared" si="1"/>
        <v>8782.9454999999998</v>
      </c>
      <c r="Q68" s="11"/>
    </row>
    <row r="69" spans="1:41" x14ac:dyDescent="0.25">
      <c r="A69" s="78">
        <v>38412</v>
      </c>
      <c r="B69" s="53">
        <v>4528.4399999999996</v>
      </c>
      <c r="C69" s="48">
        <v>4266</v>
      </c>
      <c r="D69" s="50">
        <v>231.79499999999999</v>
      </c>
      <c r="E69" s="46">
        <v>90.091499999999996</v>
      </c>
      <c r="F69" s="40">
        <f>33.415+67.1</f>
        <v>100.51499999999999</v>
      </c>
      <c r="G69" s="46">
        <v>253.66</v>
      </c>
      <c r="H69" s="48">
        <v>38.159999999999997</v>
      </c>
      <c r="I69" s="48"/>
      <c r="J69" s="48"/>
      <c r="K69" s="48"/>
      <c r="L69" s="47" t="s">
        <v>38</v>
      </c>
      <c r="M69" s="47"/>
      <c r="N69" s="47"/>
      <c r="P69" s="30">
        <f t="shared" si="1"/>
        <v>9508.6614999999983</v>
      </c>
      <c r="Q69" s="11"/>
    </row>
    <row r="70" spans="1:41" x14ac:dyDescent="0.25">
      <c r="A70" s="78">
        <v>38443</v>
      </c>
      <c r="B70" s="53">
        <v>4202.9279999999999</v>
      </c>
      <c r="C70" s="48">
        <v>4022.9</v>
      </c>
      <c r="D70" s="50">
        <v>222.3</v>
      </c>
      <c r="E70" s="46">
        <v>113.95050000000001</v>
      </c>
      <c r="F70" s="40">
        <f>50.46+68.2</f>
        <v>118.66</v>
      </c>
      <c r="G70" s="46">
        <v>295.39299999999997</v>
      </c>
      <c r="H70" s="48">
        <v>39.54</v>
      </c>
      <c r="I70" s="48"/>
      <c r="J70" s="48"/>
      <c r="K70" s="48"/>
      <c r="L70" s="47" t="s">
        <v>38</v>
      </c>
      <c r="M70" s="47"/>
      <c r="N70" s="47"/>
      <c r="P70" s="30">
        <f t="shared" si="1"/>
        <v>9015.6715000000004</v>
      </c>
      <c r="Q70" s="11"/>
    </row>
    <row r="71" spans="1:41" x14ac:dyDescent="0.25">
      <c r="A71" s="78">
        <v>38473</v>
      </c>
      <c r="B71" s="53">
        <v>4244.7240000000002</v>
      </c>
      <c r="C71" s="48">
        <v>4252.8999999999996</v>
      </c>
      <c r="D71" s="50">
        <v>232.05</v>
      </c>
      <c r="E71" s="46">
        <v>84.9</v>
      </c>
      <c r="F71" s="40">
        <f>123.27+82.8</f>
        <v>206.07</v>
      </c>
      <c r="G71" s="46">
        <v>307.43</v>
      </c>
      <c r="H71" s="48">
        <v>49.008000000000003</v>
      </c>
      <c r="I71" s="48"/>
      <c r="J71" s="48"/>
      <c r="K71" s="48"/>
      <c r="L71" s="47" t="s">
        <v>38</v>
      </c>
      <c r="M71" s="47"/>
      <c r="N71" s="47"/>
      <c r="P71" s="30">
        <f t="shared" ref="P71:P102" si="2">B71+C71+D71+E71+F71+G71+H71</f>
        <v>9377.0819999999985</v>
      </c>
      <c r="Q71" s="11"/>
    </row>
    <row r="72" spans="1:41" x14ac:dyDescent="0.25">
      <c r="A72" s="78">
        <v>38504</v>
      </c>
      <c r="B72" s="53">
        <v>3356.5320000000002</v>
      </c>
      <c r="C72" s="48">
        <v>4796.8999999999996</v>
      </c>
      <c r="D72" s="50">
        <v>377.02499999999998</v>
      </c>
      <c r="E72" s="46">
        <v>81.3</v>
      </c>
      <c r="F72" s="40">
        <f>111.03+45.2</f>
        <v>156.23000000000002</v>
      </c>
      <c r="G72" s="46">
        <v>286.488</v>
      </c>
      <c r="H72" s="48">
        <v>59.868000000000002</v>
      </c>
      <c r="I72" s="48"/>
      <c r="J72" s="48"/>
      <c r="K72" s="48"/>
      <c r="L72" s="47" t="s">
        <v>38</v>
      </c>
      <c r="M72" s="47"/>
      <c r="N72" s="47"/>
      <c r="P72" s="30">
        <f t="shared" si="2"/>
        <v>9114.3429999999989</v>
      </c>
      <c r="Q72" s="11"/>
      <c r="AO72" s="10">
        <f>9114*100/8688</f>
        <v>104.90331491712708</v>
      </c>
    </row>
    <row r="73" spans="1:41" x14ac:dyDescent="0.25">
      <c r="A73" s="78">
        <v>38534</v>
      </c>
      <c r="B73" s="53">
        <v>2771.0279999999998</v>
      </c>
      <c r="C73" s="48">
        <v>4750.1000000000004</v>
      </c>
      <c r="D73" s="50">
        <v>289.45</v>
      </c>
      <c r="E73" s="46">
        <v>56.726999999999997</v>
      </c>
      <c r="F73" s="40">
        <f>68.895+43.1</f>
        <v>111.995</v>
      </c>
      <c r="G73" s="46">
        <v>196.017</v>
      </c>
      <c r="H73" s="48">
        <v>82.968000000000004</v>
      </c>
      <c r="I73" s="48"/>
      <c r="J73" s="48"/>
      <c r="K73" s="48"/>
      <c r="L73" s="47" t="s">
        <v>38</v>
      </c>
      <c r="M73" s="47"/>
      <c r="N73" s="47"/>
      <c r="P73" s="30">
        <f t="shared" si="2"/>
        <v>8258.2849999999999</v>
      </c>
      <c r="Q73" s="11"/>
    </row>
    <row r="74" spans="1:41" x14ac:dyDescent="0.25">
      <c r="A74" s="78">
        <v>38565</v>
      </c>
      <c r="B74" s="53">
        <v>2777</v>
      </c>
      <c r="C74" s="48">
        <v>4391.8999999999996</v>
      </c>
      <c r="D74" s="50">
        <v>253.88</v>
      </c>
      <c r="E74" s="46">
        <v>75.577500000000001</v>
      </c>
      <c r="F74" s="40">
        <f>44.82+43.2</f>
        <v>88.02000000000001</v>
      </c>
      <c r="G74" s="46">
        <v>298.18200000000002</v>
      </c>
      <c r="H74" s="48">
        <v>77.328000000000003</v>
      </c>
      <c r="I74" s="48"/>
      <c r="J74" s="48"/>
      <c r="K74" s="48"/>
      <c r="L74" s="47" t="s">
        <v>38</v>
      </c>
      <c r="M74" s="47"/>
      <c r="N74" s="47"/>
      <c r="P74" s="30">
        <f t="shared" si="2"/>
        <v>7961.8875000000007</v>
      </c>
      <c r="Q74" s="11"/>
    </row>
    <row r="75" spans="1:41" x14ac:dyDescent="0.25">
      <c r="A75" s="78">
        <v>38596</v>
      </c>
      <c r="B75" s="53">
        <v>2007.3240000000001</v>
      </c>
      <c r="C75" s="48">
        <v>4128.7</v>
      </c>
      <c r="D75" s="80"/>
      <c r="E75" s="46">
        <v>87.472999999999999</v>
      </c>
      <c r="F75" s="40">
        <f>32.97+39.1</f>
        <v>72.069999999999993</v>
      </c>
      <c r="G75" s="46">
        <v>322.92</v>
      </c>
      <c r="H75" s="48">
        <v>5.6580000000000004</v>
      </c>
      <c r="I75" s="48"/>
      <c r="J75" s="48"/>
      <c r="K75" s="48"/>
      <c r="L75" s="47" t="s">
        <v>38</v>
      </c>
      <c r="M75" s="47"/>
      <c r="N75" s="47"/>
      <c r="P75" s="30">
        <f t="shared" si="2"/>
        <v>6624.1449999999995</v>
      </c>
      <c r="Q75" s="11"/>
    </row>
    <row r="76" spans="1:41" x14ac:dyDescent="0.25">
      <c r="A76" s="78">
        <v>38626</v>
      </c>
      <c r="B76" s="53">
        <v>2939.652</v>
      </c>
      <c r="C76" s="48">
        <v>4223.3999999999996</v>
      </c>
      <c r="D76" s="50">
        <v>141.15</v>
      </c>
      <c r="E76" s="46">
        <v>62.8125</v>
      </c>
      <c r="F76" s="40">
        <f>11.925+43.9</f>
        <v>55.825000000000003</v>
      </c>
      <c r="G76" s="46">
        <v>344.06799999999998</v>
      </c>
      <c r="H76" s="48">
        <v>70.932000000000002</v>
      </c>
      <c r="I76" s="48"/>
      <c r="J76" s="48"/>
      <c r="K76" s="48"/>
      <c r="L76" s="47" t="s">
        <v>38</v>
      </c>
      <c r="M76" s="47"/>
      <c r="N76" s="47"/>
      <c r="P76" s="30">
        <f t="shared" si="2"/>
        <v>7837.8394999999991</v>
      </c>
      <c r="Q76" s="11"/>
    </row>
    <row r="77" spans="1:41" x14ac:dyDescent="0.25">
      <c r="A77" s="78">
        <v>38657</v>
      </c>
      <c r="B77" s="53">
        <v>3062.0160000000001</v>
      </c>
      <c r="C77" s="48">
        <v>3971.6</v>
      </c>
      <c r="D77" s="50">
        <v>243.88499999999999</v>
      </c>
      <c r="E77" s="46">
        <v>57.57</v>
      </c>
      <c r="F77" s="40">
        <f>1.191+48.2</f>
        <v>49.391000000000005</v>
      </c>
      <c r="G77" s="46">
        <v>220.04</v>
      </c>
      <c r="H77" s="48">
        <v>81.06</v>
      </c>
      <c r="I77" s="48"/>
      <c r="J77" s="48"/>
      <c r="K77" s="48"/>
      <c r="L77" s="47" t="s">
        <v>38</v>
      </c>
      <c r="M77" s="47"/>
      <c r="N77" s="47"/>
      <c r="P77" s="30">
        <f t="shared" si="2"/>
        <v>7685.5619999999999</v>
      </c>
      <c r="Q77" s="11"/>
    </row>
    <row r="78" spans="1:41" x14ac:dyDescent="0.25">
      <c r="A78" s="78">
        <v>38687</v>
      </c>
      <c r="B78" s="53">
        <v>3183.0479999999998</v>
      </c>
      <c r="C78" s="48">
        <v>3542.8</v>
      </c>
      <c r="D78" s="50">
        <v>238.05</v>
      </c>
      <c r="E78" s="46">
        <v>15.867000000000001</v>
      </c>
      <c r="F78" s="40">
        <f>1.191+48.2</f>
        <v>49.391000000000005</v>
      </c>
      <c r="G78" s="46">
        <v>235</v>
      </c>
      <c r="H78" s="48">
        <v>81.06</v>
      </c>
      <c r="I78" s="48"/>
      <c r="J78" s="48"/>
      <c r="K78" s="48"/>
      <c r="L78" s="47" t="s">
        <v>38</v>
      </c>
      <c r="M78" s="47"/>
      <c r="N78" s="47"/>
      <c r="P78" s="30">
        <f t="shared" si="2"/>
        <v>7345.2160000000003</v>
      </c>
      <c r="Q78" s="11"/>
    </row>
    <row r="79" spans="1:41" x14ac:dyDescent="0.25">
      <c r="A79" s="78">
        <v>38718</v>
      </c>
      <c r="B79" s="53">
        <v>3539</v>
      </c>
      <c r="C79" s="48">
        <v>2456</v>
      </c>
      <c r="D79" s="81"/>
      <c r="E79" s="81"/>
      <c r="F79" s="40">
        <f>0.975+38</f>
        <v>38.975000000000001</v>
      </c>
      <c r="G79" s="46">
        <v>235</v>
      </c>
      <c r="H79" s="48">
        <v>103</v>
      </c>
      <c r="I79" s="48"/>
      <c r="J79" s="48"/>
      <c r="K79" s="48"/>
      <c r="L79" s="47" t="s">
        <v>38</v>
      </c>
      <c r="M79" s="47"/>
      <c r="N79" s="47"/>
      <c r="P79" s="30">
        <f t="shared" si="2"/>
        <v>6371.9750000000004</v>
      </c>
      <c r="Q79" s="11"/>
    </row>
    <row r="80" spans="1:41" x14ac:dyDescent="0.25">
      <c r="A80" s="78">
        <v>38749</v>
      </c>
      <c r="B80" s="53">
        <v>3299</v>
      </c>
      <c r="C80" s="48">
        <v>2360</v>
      </c>
      <c r="D80" s="81"/>
      <c r="E80" s="81"/>
      <c r="F80" s="40">
        <f>9+59</f>
        <v>68</v>
      </c>
      <c r="G80" s="46">
        <v>232</v>
      </c>
      <c r="H80" s="48">
        <v>60</v>
      </c>
      <c r="I80" s="48"/>
      <c r="J80" s="48"/>
      <c r="K80" s="48"/>
      <c r="L80" s="47" t="s">
        <v>38</v>
      </c>
      <c r="M80" s="47"/>
      <c r="N80" s="47"/>
      <c r="P80" s="30">
        <f t="shared" si="2"/>
        <v>6019</v>
      </c>
      <c r="Q80" s="11"/>
    </row>
    <row r="81" spans="1:17" x14ac:dyDescent="0.25">
      <c r="A81" s="78">
        <v>38777</v>
      </c>
      <c r="B81" s="53">
        <v>4776.732</v>
      </c>
      <c r="C81" s="48">
        <v>3059.5</v>
      </c>
      <c r="D81" s="81"/>
      <c r="E81" s="81"/>
      <c r="F81" s="40">
        <f>15.24+50.194</f>
        <v>65.433999999999997</v>
      </c>
      <c r="G81" s="46">
        <v>287.10199999999998</v>
      </c>
      <c r="H81" s="48">
        <v>59.112000000000002</v>
      </c>
      <c r="I81" s="48"/>
      <c r="J81" s="48"/>
      <c r="K81" s="48"/>
      <c r="L81" s="47" t="s">
        <v>38</v>
      </c>
      <c r="M81" s="47"/>
      <c r="N81" s="47"/>
      <c r="P81" s="30">
        <f t="shared" si="2"/>
        <v>8247.8799999999992</v>
      </c>
      <c r="Q81" s="11"/>
    </row>
    <row r="82" spans="1:17" x14ac:dyDescent="0.25">
      <c r="A82" s="78">
        <v>38808</v>
      </c>
      <c r="B82" s="53">
        <v>5343</v>
      </c>
      <c r="C82" s="48">
        <v>2421</v>
      </c>
      <c r="D82" s="81"/>
      <c r="E82" s="81"/>
      <c r="F82" s="40">
        <f>7+52</f>
        <v>59</v>
      </c>
      <c r="G82" s="46">
        <v>363</v>
      </c>
      <c r="H82" s="48">
        <v>68</v>
      </c>
      <c r="I82" s="48"/>
      <c r="J82" s="48"/>
      <c r="K82" s="48"/>
      <c r="L82" s="47" t="s">
        <v>38</v>
      </c>
      <c r="M82" s="47"/>
      <c r="N82" s="47"/>
      <c r="P82" s="30">
        <f t="shared" si="2"/>
        <v>8254</v>
      </c>
      <c r="Q82" s="11"/>
    </row>
    <row r="83" spans="1:17" x14ac:dyDescent="0.25">
      <c r="A83" s="78">
        <v>38838</v>
      </c>
      <c r="B83" s="53">
        <v>5941.9139999999998</v>
      </c>
      <c r="C83" s="48">
        <v>2453.3000000000002</v>
      </c>
      <c r="D83" s="81"/>
      <c r="E83" s="81"/>
      <c r="F83" s="40">
        <v>146.685</v>
      </c>
      <c r="G83" s="46">
        <v>354.26</v>
      </c>
      <c r="H83" s="48">
        <v>87.587999999999994</v>
      </c>
      <c r="I83" s="48"/>
      <c r="J83" s="48"/>
      <c r="K83" s="48"/>
      <c r="L83" s="47" t="s">
        <v>38</v>
      </c>
      <c r="M83" s="47"/>
      <c r="N83" s="47"/>
      <c r="P83" s="30">
        <f t="shared" si="2"/>
        <v>8983.7469999999994</v>
      </c>
      <c r="Q83" s="11"/>
    </row>
    <row r="84" spans="1:17" x14ac:dyDescent="0.25">
      <c r="A84" s="78">
        <v>38869</v>
      </c>
      <c r="B84" s="53">
        <v>4750.4880000000003</v>
      </c>
      <c r="C84" s="48">
        <v>2432.5</v>
      </c>
      <c r="D84" s="81"/>
      <c r="E84" s="81"/>
      <c r="F84" s="40">
        <v>135.24</v>
      </c>
      <c r="G84" s="46">
        <v>383.15600000000001</v>
      </c>
      <c r="H84" s="48">
        <v>96.912000000000006</v>
      </c>
      <c r="I84" s="48"/>
      <c r="J84" s="48"/>
      <c r="K84" s="48"/>
      <c r="L84" s="47" t="s">
        <v>38</v>
      </c>
      <c r="M84" s="47"/>
      <c r="N84" s="47"/>
      <c r="P84" s="30">
        <f t="shared" si="2"/>
        <v>7798.2960000000003</v>
      </c>
      <c r="Q84" s="11"/>
    </row>
    <row r="85" spans="1:17" x14ac:dyDescent="0.25">
      <c r="A85" s="78">
        <v>38899</v>
      </c>
      <c r="B85" s="53">
        <v>3962.9079999999999</v>
      </c>
      <c r="C85" s="48">
        <v>2997.5</v>
      </c>
      <c r="D85" s="81"/>
      <c r="E85" s="81"/>
      <c r="F85" s="40">
        <v>52.83</v>
      </c>
      <c r="G85" s="46">
        <v>388.22</v>
      </c>
      <c r="H85" s="48">
        <v>85.272000000000006</v>
      </c>
      <c r="I85" s="48"/>
      <c r="J85" s="48"/>
      <c r="K85" s="48"/>
      <c r="L85" s="47" t="s">
        <v>38</v>
      </c>
      <c r="M85" s="47"/>
      <c r="N85" s="47"/>
      <c r="P85" s="30">
        <f t="shared" si="2"/>
        <v>7486.73</v>
      </c>
      <c r="Q85" s="11"/>
    </row>
    <row r="86" spans="1:17" x14ac:dyDescent="0.25">
      <c r="A86" s="78">
        <v>38930</v>
      </c>
      <c r="B86" s="53">
        <v>3556.828</v>
      </c>
      <c r="C86" s="48">
        <v>3171</v>
      </c>
      <c r="D86" s="81"/>
      <c r="E86" s="81"/>
      <c r="F86" s="40">
        <v>32.94</v>
      </c>
      <c r="G86" s="46">
        <v>355.93200000000002</v>
      </c>
      <c r="H86" s="48">
        <v>89.1</v>
      </c>
      <c r="I86" s="48"/>
      <c r="J86" s="48"/>
      <c r="K86" s="48"/>
      <c r="L86" s="47" t="s">
        <v>38</v>
      </c>
      <c r="M86" s="47"/>
      <c r="N86" s="47"/>
      <c r="P86" s="30">
        <f t="shared" si="2"/>
        <v>7205.7999999999993</v>
      </c>
      <c r="Q86" s="11"/>
    </row>
    <row r="87" spans="1:17" x14ac:dyDescent="0.25">
      <c r="A87" s="78">
        <v>38961</v>
      </c>
      <c r="B87" s="53">
        <v>2837.808</v>
      </c>
      <c r="C87" s="48">
        <v>3520</v>
      </c>
      <c r="D87" s="81"/>
      <c r="E87" s="81"/>
      <c r="F87" s="40">
        <v>23.175000000000001</v>
      </c>
      <c r="G87" s="46">
        <v>398.01900000000001</v>
      </c>
      <c r="H87" s="48">
        <v>75.72</v>
      </c>
      <c r="I87" s="48"/>
      <c r="J87" s="48"/>
      <c r="K87" s="48"/>
      <c r="L87" s="47" t="s">
        <v>38</v>
      </c>
      <c r="M87" s="47"/>
      <c r="N87" s="47"/>
      <c r="P87" s="30">
        <f t="shared" si="2"/>
        <v>6854.7220000000007</v>
      </c>
      <c r="Q87" s="11"/>
    </row>
    <row r="88" spans="1:17" x14ac:dyDescent="0.25">
      <c r="A88" s="78">
        <v>38991</v>
      </c>
      <c r="B88" s="53">
        <v>3031.4960000000001</v>
      </c>
      <c r="C88" s="48">
        <v>3560.2</v>
      </c>
      <c r="D88" s="81"/>
      <c r="E88" s="81"/>
      <c r="F88" s="40">
        <v>7.6050000000000004</v>
      </c>
      <c r="G88" s="46">
        <v>416.036</v>
      </c>
      <c r="H88" s="48">
        <v>77.016000000000005</v>
      </c>
      <c r="I88" s="48"/>
      <c r="J88" s="48"/>
      <c r="K88" s="48"/>
      <c r="L88" s="47" t="s">
        <v>38</v>
      </c>
      <c r="M88" s="47"/>
      <c r="N88" s="47"/>
      <c r="P88" s="30">
        <f t="shared" si="2"/>
        <v>7092.3529999999992</v>
      </c>
      <c r="Q88" s="11"/>
    </row>
    <row r="89" spans="1:17" x14ac:dyDescent="0.25">
      <c r="A89" s="78">
        <v>39022</v>
      </c>
      <c r="B89" s="53">
        <v>4518.576</v>
      </c>
      <c r="C89" s="48">
        <v>3471.9</v>
      </c>
      <c r="D89" s="81"/>
      <c r="E89" s="81"/>
      <c r="F89" s="40">
        <f>141.8134+4.347</f>
        <v>146.16040000000001</v>
      </c>
      <c r="G89" s="46">
        <v>530.16099999999994</v>
      </c>
      <c r="H89" s="48">
        <v>90.912000000000006</v>
      </c>
      <c r="I89" s="48"/>
      <c r="J89" s="48"/>
      <c r="K89" s="48"/>
      <c r="L89" s="47" t="s">
        <v>38</v>
      </c>
      <c r="M89" s="47"/>
      <c r="N89" s="47"/>
      <c r="P89" s="30">
        <f t="shared" si="2"/>
        <v>8757.7093999999997</v>
      </c>
      <c r="Q89" s="11"/>
    </row>
    <row r="90" spans="1:17" x14ac:dyDescent="0.25">
      <c r="A90" s="78">
        <v>39052</v>
      </c>
      <c r="B90" s="53">
        <v>5666</v>
      </c>
      <c r="C90" s="48">
        <v>3920</v>
      </c>
      <c r="D90" s="81"/>
      <c r="E90" s="81"/>
      <c r="F90" s="40">
        <v>53.325000000000003</v>
      </c>
      <c r="G90" s="46">
        <v>535.77</v>
      </c>
      <c r="H90" s="48">
        <v>88.835999999999999</v>
      </c>
      <c r="I90" s="48"/>
      <c r="J90" s="48"/>
      <c r="K90" s="48"/>
      <c r="L90" s="47" t="s">
        <v>38</v>
      </c>
      <c r="M90" s="47"/>
      <c r="N90" s="47"/>
      <c r="P90" s="30">
        <f t="shared" si="2"/>
        <v>10263.931</v>
      </c>
      <c r="Q90" s="11"/>
    </row>
    <row r="91" spans="1:17" x14ac:dyDescent="0.25">
      <c r="A91" s="78">
        <v>39083</v>
      </c>
      <c r="B91" s="54">
        <v>4703.9399999999996</v>
      </c>
      <c r="C91" s="48">
        <v>6629.7</v>
      </c>
      <c r="D91" s="81"/>
      <c r="E91" s="81"/>
      <c r="F91" s="40">
        <v>143</v>
      </c>
      <c r="G91" s="46">
        <v>383.90300000000002</v>
      </c>
      <c r="H91" s="48">
        <v>92.171999999999997</v>
      </c>
      <c r="I91" s="48"/>
      <c r="J91" s="48"/>
      <c r="K91" s="48"/>
      <c r="L91" s="47"/>
      <c r="M91" s="47"/>
      <c r="N91" s="47"/>
      <c r="P91" s="30">
        <f t="shared" si="2"/>
        <v>11952.715</v>
      </c>
      <c r="Q91" s="11"/>
    </row>
    <row r="92" spans="1:17" x14ac:dyDescent="0.25">
      <c r="A92" s="78">
        <v>39114</v>
      </c>
      <c r="B92" s="54">
        <v>5280.6959999999999</v>
      </c>
      <c r="C92" s="48">
        <v>6758.8</v>
      </c>
      <c r="D92" s="81"/>
      <c r="E92" s="81"/>
      <c r="F92" s="40">
        <v>181.465</v>
      </c>
      <c r="G92" s="46">
        <v>217.39</v>
      </c>
      <c r="H92" s="48">
        <v>87.936000000000007</v>
      </c>
      <c r="I92" s="48"/>
      <c r="J92" s="48"/>
      <c r="K92" s="48"/>
      <c r="L92" s="47"/>
      <c r="M92" s="47"/>
      <c r="N92" s="47"/>
      <c r="P92" s="30">
        <f t="shared" si="2"/>
        <v>12526.286999999998</v>
      </c>
      <c r="Q92" s="11"/>
    </row>
    <row r="93" spans="1:17" x14ac:dyDescent="0.25">
      <c r="A93" s="78">
        <v>39142</v>
      </c>
      <c r="B93" s="54">
        <v>4847.8320000000003</v>
      </c>
      <c r="C93" s="48">
        <v>6606.1</v>
      </c>
      <c r="D93" s="81"/>
      <c r="E93" s="81"/>
      <c r="F93" s="40">
        <v>163.08000000000001</v>
      </c>
      <c r="G93" s="46">
        <v>268.06799999999998</v>
      </c>
      <c r="H93" s="48">
        <v>77.415999999999997</v>
      </c>
      <c r="I93" s="48"/>
      <c r="J93" s="48"/>
      <c r="K93" s="48"/>
      <c r="L93" s="47"/>
      <c r="M93" s="47"/>
      <c r="N93" s="47"/>
      <c r="P93" s="30">
        <f t="shared" si="2"/>
        <v>11962.495999999999</v>
      </c>
      <c r="Q93" s="11"/>
    </row>
    <row r="94" spans="1:17" x14ac:dyDescent="0.25">
      <c r="A94" s="78">
        <v>39173</v>
      </c>
      <c r="B94" s="54">
        <v>4941.18</v>
      </c>
      <c r="C94" s="48">
        <v>4750.8999999999996</v>
      </c>
      <c r="D94" s="81"/>
      <c r="E94" s="81"/>
      <c r="F94" s="40">
        <v>114.12</v>
      </c>
      <c r="G94" s="46">
        <v>475.58600000000001</v>
      </c>
      <c r="H94" s="48">
        <v>82.427999999999997</v>
      </c>
      <c r="I94" s="48"/>
      <c r="J94" s="48"/>
      <c r="K94" s="48"/>
      <c r="L94" s="47"/>
      <c r="M94" s="47"/>
      <c r="N94" s="47"/>
      <c r="P94" s="30">
        <f t="shared" si="2"/>
        <v>10364.214</v>
      </c>
      <c r="Q94" s="11"/>
    </row>
    <row r="95" spans="1:17" x14ac:dyDescent="0.25">
      <c r="A95" s="78">
        <v>39203</v>
      </c>
      <c r="B95" s="54">
        <v>4524.8760000000002</v>
      </c>
      <c r="C95" s="48">
        <v>4918.7</v>
      </c>
      <c r="D95" s="81"/>
      <c r="E95" s="81"/>
      <c r="F95" s="40">
        <v>162.345</v>
      </c>
      <c r="G95" s="46">
        <v>491.79500000000002</v>
      </c>
      <c r="H95" s="48">
        <v>76.224000000000004</v>
      </c>
      <c r="I95" s="48"/>
      <c r="J95" s="48"/>
      <c r="K95" s="48"/>
      <c r="L95" s="47"/>
      <c r="M95" s="47"/>
      <c r="N95" s="47"/>
      <c r="P95" s="30">
        <f t="shared" si="2"/>
        <v>10173.94</v>
      </c>
      <c r="Q95" s="11"/>
    </row>
    <row r="96" spans="1:17" x14ac:dyDescent="0.25">
      <c r="A96" s="78">
        <v>39234</v>
      </c>
      <c r="B96" s="54">
        <v>4221.8999999999996</v>
      </c>
      <c r="C96" s="48">
        <v>4440.6000000000004</v>
      </c>
      <c r="D96" s="81"/>
      <c r="E96" s="81"/>
      <c r="F96" s="40">
        <v>139.47620000000001</v>
      </c>
      <c r="G96" s="46">
        <v>513.78399999999999</v>
      </c>
      <c r="H96" s="48">
        <v>94.2</v>
      </c>
      <c r="I96" s="48"/>
      <c r="J96" s="48"/>
      <c r="K96" s="48"/>
      <c r="L96" s="47"/>
      <c r="M96" s="47"/>
      <c r="N96" s="47"/>
      <c r="P96" s="30">
        <f t="shared" si="2"/>
        <v>9409.9601999999995</v>
      </c>
      <c r="Q96" s="11"/>
    </row>
    <row r="97" spans="1:17" x14ac:dyDescent="0.25">
      <c r="A97" s="78">
        <v>39264</v>
      </c>
      <c r="B97" s="54">
        <v>3570.2280000000001</v>
      </c>
      <c r="C97" s="48">
        <v>5599</v>
      </c>
      <c r="D97" s="81"/>
      <c r="E97" s="81"/>
      <c r="F97" s="40">
        <v>149.80500000000001</v>
      </c>
      <c r="G97" s="46">
        <v>497.08100000000002</v>
      </c>
      <c r="H97" s="48">
        <v>45.84</v>
      </c>
      <c r="I97" s="48"/>
      <c r="J97" s="48"/>
      <c r="K97" s="48"/>
      <c r="L97" s="47"/>
      <c r="M97" s="47"/>
      <c r="N97" s="47"/>
      <c r="P97" s="30">
        <f t="shared" si="2"/>
        <v>9861.9539999999997</v>
      </c>
      <c r="Q97" s="11"/>
    </row>
    <row r="98" spans="1:17" x14ac:dyDescent="0.25">
      <c r="A98" s="78">
        <v>39295</v>
      </c>
      <c r="B98" s="54">
        <v>3184.7759999999998</v>
      </c>
      <c r="C98" s="48">
        <v>5568.9</v>
      </c>
      <c r="D98" s="50">
        <v>620.32000000000005</v>
      </c>
      <c r="E98" s="49">
        <v>335.18</v>
      </c>
      <c r="F98" s="40">
        <v>21.885000000000002</v>
      </c>
      <c r="G98" s="46">
        <v>315.49099999999999</v>
      </c>
      <c r="H98" s="48">
        <v>12.048</v>
      </c>
      <c r="I98" s="48"/>
      <c r="J98" s="48"/>
      <c r="K98" s="48"/>
      <c r="L98" s="47"/>
      <c r="M98" s="47"/>
      <c r="N98" s="47"/>
      <c r="P98" s="30">
        <f t="shared" si="2"/>
        <v>10058.6</v>
      </c>
      <c r="Q98" s="11"/>
    </row>
    <row r="99" spans="1:17" x14ac:dyDescent="0.25">
      <c r="A99" s="78">
        <v>39326</v>
      </c>
      <c r="B99" s="54">
        <v>2940.3359999999998</v>
      </c>
      <c r="C99" s="48">
        <v>4349.3999999999996</v>
      </c>
      <c r="D99" s="50">
        <v>535.78</v>
      </c>
      <c r="E99" s="49">
        <v>300.19</v>
      </c>
      <c r="F99" s="40">
        <v>37.56</v>
      </c>
      <c r="G99" s="46">
        <v>253.04</v>
      </c>
      <c r="H99" s="48">
        <v>15.536</v>
      </c>
      <c r="I99" s="48"/>
      <c r="J99" s="48"/>
      <c r="K99" s="48"/>
      <c r="L99" s="47"/>
      <c r="M99" s="47"/>
      <c r="N99" s="47"/>
      <c r="P99" s="30">
        <f t="shared" si="2"/>
        <v>8431.8419999999987</v>
      </c>
      <c r="Q99" s="11"/>
    </row>
    <row r="100" spans="1:17" x14ac:dyDescent="0.25">
      <c r="A100" s="78">
        <v>39356</v>
      </c>
      <c r="B100" s="54">
        <v>2992.6439999999998</v>
      </c>
      <c r="C100" s="48">
        <v>3736.1</v>
      </c>
      <c r="D100" s="50">
        <v>453.39</v>
      </c>
      <c r="E100" s="49">
        <v>314.17</v>
      </c>
      <c r="F100" s="40">
        <v>24.79</v>
      </c>
      <c r="G100" s="46">
        <v>254.34399999999999</v>
      </c>
      <c r="H100" s="48">
        <v>6.78</v>
      </c>
      <c r="I100" s="48"/>
      <c r="J100" s="48"/>
      <c r="K100" s="48"/>
      <c r="L100" s="47"/>
      <c r="M100" s="47"/>
      <c r="N100" s="47"/>
      <c r="P100" s="30">
        <f t="shared" si="2"/>
        <v>7782.2179999999998</v>
      </c>
      <c r="Q100" s="11"/>
    </row>
    <row r="101" spans="1:17" x14ac:dyDescent="0.25">
      <c r="A101" s="78">
        <v>39387</v>
      </c>
      <c r="B101" s="54">
        <v>3127.3919999999998</v>
      </c>
      <c r="C101" s="48">
        <v>3134.6</v>
      </c>
      <c r="D101" s="50">
        <v>457.91</v>
      </c>
      <c r="E101" s="49">
        <v>344.87</v>
      </c>
      <c r="F101" s="40">
        <v>60.12</v>
      </c>
      <c r="G101" s="46">
        <v>257.483</v>
      </c>
      <c r="H101" s="49"/>
      <c r="I101" s="49"/>
      <c r="J101" s="49"/>
      <c r="K101" s="49"/>
      <c r="L101" s="47"/>
      <c r="M101" s="47"/>
      <c r="N101" s="47"/>
      <c r="P101" s="30">
        <f t="shared" si="2"/>
        <v>7382.375</v>
      </c>
      <c r="Q101" s="11"/>
    </row>
    <row r="102" spans="1:17" x14ac:dyDescent="0.25">
      <c r="A102" s="78">
        <v>39417</v>
      </c>
      <c r="B102" s="54">
        <v>3016.2959999999998</v>
      </c>
      <c r="C102" s="48">
        <v>3384.7</v>
      </c>
      <c r="D102" s="50">
        <v>484.66</v>
      </c>
      <c r="E102" s="49">
        <v>310.26</v>
      </c>
      <c r="F102" s="40">
        <v>103.77</v>
      </c>
      <c r="G102" s="46">
        <v>252.14400000000001</v>
      </c>
      <c r="H102" s="49"/>
      <c r="I102" s="49"/>
      <c r="J102" s="49"/>
      <c r="K102" s="49"/>
      <c r="L102" s="47"/>
      <c r="M102" s="47"/>
      <c r="N102" s="47"/>
      <c r="P102" s="30">
        <f t="shared" si="2"/>
        <v>7551.83</v>
      </c>
      <c r="Q102" s="11"/>
    </row>
    <row r="103" spans="1:17" x14ac:dyDescent="0.25">
      <c r="A103" s="78">
        <v>39448</v>
      </c>
      <c r="B103" s="54">
        <v>2982.924</v>
      </c>
      <c r="C103" s="48">
        <v>3122.924</v>
      </c>
      <c r="D103" s="50">
        <v>589.91999999999996</v>
      </c>
      <c r="E103" s="49">
        <v>370.95</v>
      </c>
      <c r="F103" s="40">
        <v>65.64</v>
      </c>
      <c r="G103" s="46">
        <v>258.21899999999999</v>
      </c>
      <c r="H103" s="49">
        <v>41.531999999999996</v>
      </c>
      <c r="I103" s="49"/>
      <c r="J103" s="49"/>
      <c r="K103" s="49"/>
      <c r="L103" s="47" t="s">
        <v>38</v>
      </c>
      <c r="M103" s="47"/>
      <c r="N103" s="47"/>
      <c r="P103" s="30">
        <f t="shared" ref="P103:P121" si="3">B103+C103+D103+E103+F103+G103+H103</f>
        <v>7432.1090000000004</v>
      </c>
      <c r="Q103" s="11"/>
    </row>
    <row r="104" spans="1:17" x14ac:dyDescent="0.25">
      <c r="A104" s="78">
        <v>39479</v>
      </c>
      <c r="B104" s="54">
        <v>4250.0519999999997</v>
      </c>
      <c r="C104" s="48">
        <v>2210.1</v>
      </c>
      <c r="D104" s="50">
        <v>477.36599999999999</v>
      </c>
      <c r="E104" s="49">
        <v>408.41</v>
      </c>
      <c r="F104" s="40">
        <v>157.68</v>
      </c>
      <c r="G104" s="46">
        <v>277.70699999999999</v>
      </c>
      <c r="H104" s="49">
        <v>48.72</v>
      </c>
      <c r="I104" s="49"/>
      <c r="J104" s="49"/>
      <c r="K104" s="49"/>
      <c r="L104" s="47" t="s">
        <v>38</v>
      </c>
      <c r="M104" s="47"/>
      <c r="N104" s="47"/>
      <c r="P104" s="30">
        <f t="shared" si="3"/>
        <v>7830.0350000000008</v>
      </c>
      <c r="Q104" s="11"/>
    </row>
    <row r="105" spans="1:17" x14ac:dyDescent="0.25">
      <c r="A105" s="78">
        <v>39508</v>
      </c>
      <c r="B105" s="54">
        <v>5618.5559999999996</v>
      </c>
      <c r="C105" s="48">
        <v>2027.5</v>
      </c>
      <c r="D105" s="50">
        <v>320.37</v>
      </c>
      <c r="E105" s="49">
        <v>589.12</v>
      </c>
      <c r="F105" s="40">
        <v>153.38300000000001</v>
      </c>
      <c r="G105" s="46">
        <v>255.95</v>
      </c>
      <c r="H105" s="49">
        <v>35.415999999999997</v>
      </c>
      <c r="I105" s="49"/>
      <c r="J105" s="49"/>
      <c r="K105" s="49"/>
      <c r="L105" s="47" t="s">
        <v>38</v>
      </c>
      <c r="M105" s="47"/>
      <c r="N105" s="47"/>
      <c r="P105" s="30">
        <f t="shared" si="3"/>
        <v>9000.2950000000001</v>
      </c>
      <c r="Q105" s="11"/>
    </row>
    <row r="106" spans="1:17" x14ac:dyDescent="0.25">
      <c r="A106" s="78">
        <v>39539</v>
      </c>
      <c r="B106" s="54">
        <v>5046.58</v>
      </c>
      <c r="C106" s="48">
        <v>2904.8</v>
      </c>
      <c r="D106" s="50">
        <v>135.44999999999999</v>
      </c>
      <c r="E106" s="49">
        <v>557.36</v>
      </c>
      <c r="F106" s="40">
        <v>154.65799999999999</v>
      </c>
      <c r="G106" s="46">
        <v>302.86200000000002</v>
      </c>
      <c r="H106" s="49">
        <v>69.762</v>
      </c>
      <c r="I106" s="49"/>
      <c r="J106" s="49"/>
      <c r="K106" s="49"/>
      <c r="L106" s="47" t="s">
        <v>38</v>
      </c>
      <c r="M106" s="47"/>
      <c r="N106" s="47"/>
      <c r="P106" s="30">
        <f t="shared" si="3"/>
        <v>9171.4719999999998</v>
      </c>
      <c r="Q106" s="11"/>
    </row>
    <row r="107" spans="1:17" x14ac:dyDescent="0.25">
      <c r="A107" s="78">
        <v>39569</v>
      </c>
      <c r="B107" s="54">
        <v>3454.4520000000002</v>
      </c>
      <c r="C107" s="48">
        <v>4595.7</v>
      </c>
      <c r="D107" s="50">
        <v>259.89999999999998</v>
      </c>
      <c r="E107" s="49">
        <v>496.04</v>
      </c>
      <c r="F107" s="40">
        <v>155.506</v>
      </c>
      <c r="G107" s="46">
        <v>339.25099999999998</v>
      </c>
      <c r="H107" s="49">
        <v>77.760000000000005</v>
      </c>
      <c r="I107" s="49"/>
      <c r="J107" s="49"/>
      <c r="K107" s="49"/>
      <c r="L107" s="47" t="s">
        <v>38</v>
      </c>
      <c r="M107" s="47"/>
      <c r="N107" s="47"/>
      <c r="P107" s="30">
        <f t="shared" si="3"/>
        <v>9378.6090000000004</v>
      </c>
      <c r="Q107" s="11"/>
    </row>
    <row r="108" spans="1:17" x14ac:dyDescent="0.25">
      <c r="A108" s="78">
        <v>39600</v>
      </c>
      <c r="B108" s="54">
        <v>3086.9639999999999</v>
      </c>
      <c r="C108" s="48">
        <v>5529.5</v>
      </c>
      <c r="D108" s="50">
        <v>308.33999999999997</v>
      </c>
      <c r="E108" s="81"/>
      <c r="F108" s="40">
        <v>52.244999999999997</v>
      </c>
      <c r="G108" s="46">
        <v>347.55500000000001</v>
      </c>
      <c r="H108" s="49">
        <v>112.488</v>
      </c>
      <c r="I108" s="49"/>
      <c r="J108" s="49"/>
      <c r="K108" s="49"/>
      <c r="L108" s="47" t="s">
        <v>38</v>
      </c>
      <c r="M108" s="47"/>
      <c r="N108" s="47"/>
      <c r="P108" s="30">
        <f t="shared" si="3"/>
        <v>9437.0920000000006</v>
      </c>
      <c r="Q108" s="11"/>
    </row>
    <row r="109" spans="1:17" x14ac:dyDescent="0.25">
      <c r="A109" s="78">
        <v>39630</v>
      </c>
      <c r="B109" s="54">
        <v>2705.94</v>
      </c>
      <c r="C109" s="48">
        <v>6063.1</v>
      </c>
      <c r="D109" s="50">
        <v>299.45999999999998</v>
      </c>
      <c r="E109" s="49">
        <v>323.14</v>
      </c>
      <c r="F109" s="40">
        <v>43.62</v>
      </c>
      <c r="G109" s="46">
        <v>342.32600000000002</v>
      </c>
      <c r="H109" s="49">
        <v>91.68</v>
      </c>
      <c r="I109" s="49"/>
      <c r="J109" s="49"/>
      <c r="K109" s="49"/>
      <c r="L109" s="47" t="s">
        <v>38</v>
      </c>
      <c r="M109" s="47"/>
      <c r="N109" s="47"/>
      <c r="P109" s="30">
        <f t="shared" si="3"/>
        <v>9869.2659999999996</v>
      </c>
      <c r="Q109" s="11"/>
    </row>
    <row r="110" spans="1:17" x14ac:dyDescent="0.25">
      <c r="A110" s="78">
        <v>39661</v>
      </c>
      <c r="B110" s="54">
        <v>2532.636</v>
      </c>
      <c r="C110" s="48">
        <v>6865.3</v>
      </c>
      <c r="D110" s="50">
        <v>321.08</v>
      </c>
      <c r="E110" s="49">
        <v>262.48</v>
      </c>
      <c r="F110" s="40">
        <v>41.66</v>
      </c>
      <c r="G110" s="46">
        <v>289.70800000000003</v>
      </c>
      <c r="H110" s="49">
        <v>101.77200000000001</v>
      </c>
      <c r="I110" s="49"/>
      <c r="J110" s="49"/>
      <c r="K110" s="49"/>
      <c r="L110" s="47" t="s">
        <v>38</v>
      </c>
      <c r="M110" s="47"/>
      <c r="N110" s="47"/>
      <c r="P110" s="30">
        <f t="shared" si="3"/>
        <v>10414.636</v>
      </c>
      <c r="Q110" s="11"/>
    </row>
    <row r="111" spans="1:17" x14ac:dyDescent="0.25">
      <c r="A111" s="78">
        <v>39692</v>
      </c>
      <c r="B111" s="54">
        <v>2494.4760000000001</v>
      </c>
      <c r="C111" s="48">
        <v>6448.4</v>
      </c>
      <c r="D111" s="50">
        <v>299.70999999999998</v>
      </c>
      <c r="E111" s="49">
        <v>250.28</v>
      </c>
      <c r="F111" s="40">
        <v>44.52</v>
      </c>
      <c r="G111" s="46">
        <v>268.755</v>
      </c>
      <c r="H111" s="49">
        <v>61.164000000000001</v>
      </c>
      <c r="I111" s="49"/>
      <c r="J111" s="49"/>
      <c r="K111" s="49"/>
      <c r="L111" s="47" t="s">
        <v>38</v>
      </c>
      <c r="M111" s="47"/>
      <c r="N111" s="47"/>
      <c r="P111" s="30">
        <f t="shared" si="3"/>
        <v>9867.3050000000003</v>
      </c>
      <c r="Q111" s="11"/>
    </row>
    <row r="112" spans="1:17" x14ac:dyDescent="0.25">
      <c r="A112" s="78">
        <v>39722</v>
      </c>
      <c r="B112" s="54">
        <v>3258</v>
      </c>
      <c r="C112" s="48">
        <v>5163.1000000000004</v>
      </c>
      <c r="D112" s="50">
        <v>346.03</v>
      </c>
      <c r="E112" s="49">
        <v>354</v>
      </c>
      <c r="F112" s="40">
        <v>46.185000000000002</v>
      </c>
      <c r="G112" s="46">
        <v>327.577</v>
      </c>
      <c r="H112" s="49">
        <v>111.108</v>
      </c>
      <c r="I112" s="49"/>
      <c r="J112" s="49"/>
      <c r="K112" s="49"/>
      <c r="L112" s="47" t="s">
        <v>38</v>
      </c>
      <c r="M112" s="47"/>
      <c r="N112" s="47"/>
      <c r="P112" s="30">
        <f t="shared" si="3"/>
        <v>9606</v>
      </c>
      <c r="Q112" s="11"/>
    </row>
    <row r="113" spans="1:17" x14ac:dyDescent="0.25">
      <c r="A113" s="78">
        <v>39753</v>
      </c>
      <c r="B113" s="54">
        <v>3492.36</v>
      </c>
      <c r="C113" s="48">
        <v>4849</v>
      </c>
      <c r="D113" s="50">
        <v>301.69</v>
      </c>
      <c r="E113" s="49">
        <v>354.05</v>
      </c>
      <c r="F113" s="40">
        <v>49.17</v>
      </c>
      <c r="G113" s="46">
        <v>326.197</v>
      </c>
      <c r="H113" s="49">
        <v>115.08</v>
      </c>
      <c r="I113" s="49"/>
      <c r="J113" s="49"/>
      <c r="K113" s="49"/>
      <c r="L113" s="47" t="s">
        <v>38</v>
      </c>
      <c r="M113" s="47"/>
      <c r="N113" s="47"/>
      <c r="P113" s="30">
        <f t="shared" si="3"/>
        <v>9487.5470000000005</v>
      </c>
      <c r="Q113" s="11"/>
    </row>
    <row r="114" spans="1:17" x14ac:dyDescent="0.25">
      <c r="A114" s="78">
        <v>39783</v>
      </c>
      <c r="B114" s="54">
        <v>3448.3319999999999</v>
      </c>
      <c r="C114" s="48">
        <v>5547.7</v>
      </c>
      <c r="D114" s="50">
        <v>595.14</v>
      </c>
      <c r="E114" s="49">
        <v>314.97000000000003</v>
      </c>
      <c r="F114" s="40">
        <v>61.5</v>
      </c>
      <c r="G114" s="46">
        <v>312.44</v>
      </c>
      <c r="H114" s="49">
        <v>14.891999999999999</v>
      </c>
      <c r="I114" s="49"/>
      <c r="J114" s="49"/>
      <c r="K114" s="49"/>
      <c r="L114" s="47" t="s">
        <v>38</v>
      </c>
      <c r="M114" s="47"/>
      <c r="N114" s="47"/>
      <c r="P114" s="30">
        <f t="shared" si="3"/>
        <v>10294.973999999998</v>
      </c>
      <c r="Q114" s="11"/>
    </row>
    <row r="115" spans="1:17" x14ac:dyDescent="0.25">
      <c r="A115" s="78">
        <v>39814</v>
      </c>
      <c r="B115" s="54">
        <v>4835.4120000000003</v>
      </c>
      <c r="C115" s="48">
        <v>3492</v>
      </c>
      <c r="D115" s="50">
        <v>444.58</v>
      </c>
      <c r="E115" s="49">
        <v>460.19</v>
      </c>
      <c r="F115" s="40">
        <v>91.56</v>
      </c>
      <c r="G115" s="46">
        <v>301.89400000000001</v>
      </c>
      <c r="H115" s="49">
        <v>52.32</v>
      </c>
      <c r="I115" s="49"/>
      <c r="J115" s="49"/>
      <c r="K115" s="49"/>
      <c r="L115" s="47" t="s">
        <v>35</v>
      </c>
      <c r="M115" s="47"/>
      <c r="N115" s="47"/>
      <c r="P115" s="30">
        <f t="shared" si="3"/>
        <v>9677.9560000000001</v>
      </c>
      <c r="Q115" s="11"/>
    </row>
    <row r="116" spans="1:17" x14ac:dyDescent="0.25">
      <c r="A116" s="78">
        <v>39845</v>
      </c>
      <c r="B116" s="54">
        <v>4580.5320000000002</v>
      </c>
      <c r="C116" s="48">
        <v>2625.8</v>
      </c>
      <c r="D116" s="50">
        <v>448.2</v>
      </c>
      <c r="E116" s="49">
        <v>460.31</v>
      </c>
      <c r="F116" s="40">
        <v>71.474999999999994</v>
      </c>
      <c r="G116" s="46">
        <v>288.45499999999998</v>
      </c>
      <c r="H116" s="49">
        <v>91.067999999999998</v>
      </c>
      <c r="I116" s="49"/>
      <c r="J116" s="49"/>
      <c r="K116" s="49"/>
      <c r="L116" s="47" t="s">
        <v>35</v>
      </c>
      <c r="M116" s="47"/>
      <c r="N116" s="47"/>
      <c r="P116" s="30">
        <f t="shared" si="3"/>
        <v>8565.84</v>
      </c>
      <c r="Q116" s="11"/>
    </row>
    <row r="117" spans="1:17" x14ac:dyDescent="0.25">
      <c r="A117" s="78">
        <v>39873</v>
      </c>
      <c r="B117" s="54">
        <v>5409.9359999999997</v>
      </c>
      <c r="C117" s="48">
        <v>2933.1</v>
      </c>
      <c r="D117" s="50">
        <v>386.59</v>
      </c>
      <c r="E117" s="49">
        <v>504.4</v>
      </c>
      <c r="F117" s="40">
        <v>225.63</v>
      </c>
      <c r="G117" s="46">
        <v>325.95699999999999</v>
      </c>
      <c r="H117" s="49">
        <v>97.548000000000002</v>
      </c>
      <c r="I117" s="49"/>
      <c r="J117" s="49"/>
      <c r="K117" s="49"/>
      <c r="L117" s="47" t="s">
        <v>35</v>
      </c>
      <c r="M117" s="47"/>
      <c r="N117" s="47"/>
      <c r="P117" s="30">
        <f t="shared" si="3"/>
        <v>9883.1610000000001</v>
      </c>
      <c r="Q117" s="11"/>
    </row>
    <row r="118" spans="1:17" x14ac:dyDescent="0.25">
      <c r="A118" s="78">
        <v>39904</v>
      </c>
      <c r="B118" s="54">
        <v>5219.91</v>
      </c>
      <c r="C118" s="48">
        <v>2522</v>
      </c>
      <c r="D118" s="50">
        <v>461.08</v>
      </c>
      <c r="E118" s="49">
        <v>574.4</v>
      </c>
      <c r="F118" s="40">
        <v>232.66499999999999</v>
      </c>
      <c r="G118" s="46">
        <v>302.76</v>
      </c>
      <c r="H118" s="49">
        <v>114.13200000000001</v>
      </c>
      <c r="I118" s="49"/>
      <c r="J118" s="49"/>
      <c r="K118" s="49"/>
      <c r="L118" s="47" t="s">
        <v>35</v>
      </c>
      <c r="M118" s="47"/>
      <c r="N118" s="47"/>
      <c r="P118" s="30">
        <f t="shared" si="3"/>
        <v>9426.9470000000001</v>
      </c>
      <c r="Q118" s="11"/>
    </row>
    <row r="119" spans="1:17" x14ac:dyDescent="0.25">
      <c r="A119" s="78">
        <v>39934</v>
      </c>
      <c r="B119" s="54">
        <v>4720.6080000000002</v>
      </c>
      <c r="C119" s="48">
        <v>3567.8</v>
      </c>
      <c r="D119" s="50">
        <v>541.54</v>
      </c>
      <c r="E119" s="49">
        <v>574.41999999999996</v>
      </c>
      <c r="F119" s="40">
        <v>253.5</v>
      </c>
      <c r="G119" s="46">
        <v>314.928</v>
      </c>
      <c r="H119" s="49">
        <v>158.41200000000001</v>
      </c>
      <c r="I119" s="49"/>
      <c r="J119" s="49"/>
      <c r="K119" s="49"/>
      <c r="L119" s="47" t="s">
        <v>35</v>
      </c>
      <c r="M119" s="47"/>
      <c r="N119" s="47"/>
      <c r="P119" s="30">
        <f t="shared" si="3"/>
        <v>10131.208000000001</v>
      </c>
      <c r="Q119" s="11"/>
    </row>
    <row r="120" spans="1:17" x14ac:dyDescent="0.25">
      <c r="A120" s="78">
        <v>39965</v>
      </c>
      <c r="B120" s="54">
        <v>3609.36</v>
      </c>
      <c r="C120" s="48">
        <v>4927.8999999999996</v>
      </c>
      <c r="D120" s="50">
        <v>592.1</v>
      </c>
      <c r="E120" s="49">
        <v>399.58</v>
      </c>
      <c r="F120" s="40">
        <v>128.55000000000001</v>
      </c>
      <c r="G120" s="46">
        <v>231.29499999999999</v>
      </c>
      <c r="H120" s="49">
        <v>103.116</v>
      </c>
      <c r="I120" s="49"/>
      <c r="J120" s="49"/>
      <c r="K120" s="49"/>
      <c r="L120" s="47" t="s">
        <v>35</v>
      </c>
      <c r="M120" s="47"/>
      <c r="N120" s="47"/>
      <c r="P120" s="30">
        <f t="shared" si="3"/>
        <v>9991.9009999999998</v>
      </c>
      <c r="Q120" s="11"/>
    </row>
    <row r="121" spans="1:17" x14ac:dyDescent="0.25">
      <c r="A121" s="78">
        <v>39995</v>
      </c>
      <c r="B121" s="54">
        <v>2868.2640000000001</v>
      </c>
      <c r="C121" s="48">
        <v>6315.2</v>
      </c>
      <c r="D121" s="50">
        <v>531.99</v>
      </c>
      <c r="E121" s="49">
        <v>315.13</v>
      </c>
      <c r="F121" s="40">
        <v>87.13</v>
      </c>
      <c r="G121" s="46">
        <v>200.56800000000001</v>
      </c>
      <c r="H121" s="49">
        <v>116.64</v>
      </c>
      <c r="I121" s="49"/>
      <c r="J121" s="49"/>
      <c r="K121" s="49"/>
      <c r="L121" s="47" t="s">
        <v>35</v>
      </c>
      <c r="M121" s="47"/>
      <c r="N121" s="47"/>
      <c r="P121" s="30">
        <f t="shared" si="3"/>
        <v>10434.921999999997</v>
      </c>
      <c r="Q121" s="11"/>
    </row>
    <row r="122" spans="1:17" x14ac:dyDescent="0.25">
      <c r="A122" s="78">
        <v>40026</v>
      </c>
      <c r="B122" s="54">
        <v>2808.1080000000002</v>
      </c>
      <c r="C122" s="48">
        <v>6039.3</v>
      </c>
      <c r="D122" s="50">
        <v>466.46</v>
      </c>
      <c r="E122" s="49">
        <v>269.11</v>
      </c>
      <c r="F122" s="40">
        <v>67.92</v>
      </c>
      <c r="G122" s="46">
        <v>327.14499999999998</v>
      </c>
      <c r="H122" s="49">
        <v>83.988</v>
      </c>
      <c r="I122" s="49"/>
      <c r="J122" s="49"/>
      <c r="K122" s="49"/>
      <c r="L122" s="49">
        <v>697.8</v>
      </c>
      <c r="M122" s="49"/>
      <c r="N122" s="49"/>
      <c r="P122" s="30">
        <f t="shared" ref="P122:P127" si="4">B122+C122+D122+E122+F122+G122+H122+L122</f>
        <v>10759.830999999998</v>
      </c>
      <c r="Q122" s="11"/>
    </row>
    <row r="123" spans="1:17" x14ac:dyDescent="0.25">
      <c r="A123" s="78">
        <v>40057</v>
      </c>
      <c r="B123" s="54">
        <v>2964.8159999999998</v>
      </c>
      <c r="C123" s="48">
        <v>5012.3999999999996</v>
      </c>
      <c r="D123" s="50">
        <v>346.54</v>
      </c>
      <c r="E123" s="49">
        <v>277.49</v>
      </c>
      <c r="F123" s="40">
        <v>62.085000000000001</v>
      </c>
      <c r="G123" s="46">
        <v>703.43700000000001</v>
      </c>
      <c r="H123" s="49">
        <v>68.147999999999996</v>
      </c>
      <c r="I123" s="49"/>
      <c r="J123" s="49"/>
      <c r="K123" s="49"/>
      <c r="L123" s="49">
        <v>870.54</v>
      </c>
      <c r="M123" s="49"/>
      <c r="N123" s="49"/>
      <c r="P123" s="30">
        <f t="shared" si="4"/>
        <v>10305.455999999998</v>
      </c>
      <c r="Q123" s="11"/>
    </row>
    <row r="124" spans="1:17" x14ac:dyDescent="0.25">
      <c r="A124" s="78">
        <v>40087</v>
      </c>
      <c r="B124" s="54">
        <v>3119.1120000000001</v>
      </c>
      <c r="C124" s="48">
        <v>4063.2</v>
      </c>
      <c r="D124" s="50">
        <v>363.57</v>
      </c>
      <c r="E124" s="49">
        <v>297.97000000000003</v>
      </c>
      <c r="F124" s="40">
        <v>28.38</v>
      </c>
      <c r="G124" s="46">
        <v>1053.1869999999999</v>
      </c>
      <c r="H124" s="49">
        <v>93.707999999999998</v>
      </c>
      <c r="I124" s="49"/>
      <c r="J124" s="49"/>
      <c r="K124" s="49"/>
      <c r="L124" s="49">
        <v>908.55</v>
      </c>
      <c r="M124" s="49"/>
      <c r="N124" s="49"/>
      <c r="P124" s="30">
        <f t="shared" si="4"/>
        <v>9927.6769999999997</v>
      </c>
      <c r="Q124" s="11"/>
    </row>
    <row r="125" spans="1:17" x14ac:dyDescent="0.25">
      <c r="A125" s="78">
        <v>40118</v>
      </c>
      <c r="B125" s="54">
        <v>4251.5640000000003</v>
      </c>
      <c r="C125" s="48">
        <v>3746.2</v>
      </c>
      <c r="D125" s="50">
        <v>435.14</v>
      </c>
      <c r="E125" s="49">
        <v>445.54</v>
      </c>
      <c r="F125" s="40">
        <v>52.005000000000003</v>
      </c>
      <c r="G125" s="46">
        <v>804.04100000000005</v>
      </c>
      <c r="H125" s="49">
        <v>107.86799999999999</v>
      </c>
      <c r="I125" s="49"/>
      <c r="J125" s="49"/>
      <c r="K125" s="49"/>
      <c r="L125" s="49">
        <v>785.25</v>
      </c>
      <c r="M125" s="49"/>
      <c r="N125" s="49"/>
      <c r="P125" s="30">
        <f t="shared" si="4"/>
        <v>10627.608</v>
      </c>
      <c r="Q125" s="11"/>
    </row>
    <row r="126" spans="1:17" x14ac:dyDescent="0.25">
      <c r="A126" s="78">
        <v>40148</v>
      </c>
      <c r="B126" s="54">
        <v>4479.3</v>
      </c>
      <c r="C126" s="48">
        <v>3989.7</v>
      </c>
      <c r="D126" s="50">
        <v>326.55</v>
      </c>
      <c r="E126" s="49">
        <v>480.42</v>
      </c>
      <c r="F126" s="40">
        <v>78.825000000000003</v>
      </c>
      <c r="G126" s="46">
        <v>822.19600000000003</v>
      </c>
      <c r="H126" s="49">
        <v>131.1</v>
      </c>
      <c r="I126" s="49"/>
      <c r="J126" s="49"/>
      <c r="K126" s="49"/>
      <c r="L126" s="49">
        <v>1106.7</v>
      </c>
      <c r="M126" s="49"/>
      <c r="N126" s="49"/>
      <c r="P126" s="30">
        <f t="shared" si="4"/>
        <v>11414.791000000001</v>
      </c>
      <c r="Q126" s="11"/>
    </row>
    <row r="127" spans="1:17" x14ac:dyDescent="0.25">
      <c r="A127" s="78">
        <v>40179</v>
      </c>
      <c r="B127" s="54">
        <v>4928.9399999999996</v>
      </c>
      <c r="C127" s="48">
        <v>3567.7</v>
      </c>
      <c r="D127" s="50">
        <v>332</v>
      </c>
      <c r="E127" s="49">
        <v>506.97</v>
      </c>
      <c r="F127" s="40">
        <v>252.01499999999999</v>
      </c>
      <c r="G127" s="46">
        <v>1072.6849999999999</v>
      </c>
      <c r="H127" s="49">
        <v>119.208</v>
      </c>
      <c r="I127" s="49"/>
      <c r="J127" s="49"/>
      <c r="K127" s="49"/>
      <c r="L127" s="49">
        <v>1178.22</v>
      </c>
      <c r="M127" s="49"/>
      <c r="N127" s="49"/>
      <c r="P127" s="30">
        <f t="shared" si="4"/>
        <v>11957.737999999998</v>
      </c>
      <c r="Q127" s="11"/>
    </row>
    <row r="128" spans="1:17" x14ac:dyDescent="0.25">
      <c r="A128" s="78">
        <v>40210</v>
      </c>
      <c r="B128" s="54">
        <v>3692.8</v>
      </c>
      <c r="C128" s="48">
        <v>4231.5</v>
      </c>
      <c r="D128" s="50">
        <v>308.5</v>
      </c>
      <c r="E128" s="49">
        <v>516.39</v>
      </c>
      <c r="F128" s="40">
        <v>147.19499999999999</v>
      </c>
      <c r="G128" s="46">
        <v>542.81299999999999</v>
      </c>
      <c r="H128" s="49">
        <v>107.913</v>
      </c>
      <c r="I128" s="49"/>
      <c r="J128" s="49"/>
      <c r="K128" s="49"/>
      <c r="L128" s="49">
        <v>1248.76</v>
      </c>
      <c r="M128" s="49"/>
      <c r="N128" s="49"/>
      <c r="P128" s="30">
        <f t="shared" ref="P128:P159" si="5">SUM(B128:L128)</f>
        <v>10795.870999999999</v>
      </c>
      <c r="Q128" s="11"/>
    </row>
    <row r="129" spans="1:17" x14ac:dyDescent="0.25">
      <c r="A129" s="78">
        <v>40238</v>
      </c>
      <c r="B129" s="54">
        <v>5187.3999999999996</v>
      </c>
      <c r="C129" s="48">
        <v>4331.6000000000004</v>
      </c>
      <c r="D129" s="50">
        <v>336.9</v>
      </c>
      <c r="E129" s="49">
        <v>615.5</v>
      </c>
      <c r="F129" s="40">
        <v>257.60000000000002</v>
      </c>
      <c r="G129" s="46">
        <v>474.8</v>
      </c>
      <c r="H129" s="49">
        <v>102.4</v>
      </c>
      <c r="I129" s="49"/>
      <c r="J129" s="49"/>
      <c r="K129" s="49"/>
      <c r="L129" s="49">
        <v>1008.9</v>
      </c>
      <c r="M129" s="49"/>
      <c r="N129" s="49"/>
      <c r="P129" s="30">
        <f t="shared" si="5"/>
        <v>12315.099999999999</v>
      </c>
      <c r="Q129" s="11"/>
    </row>
    <row r="130" spans="1:17" x14ac:dyDescent="0.25">
      <c r="A130" s="78">
        <v>40269</v>
      </c>
      <c r="B130" s="54">
        <v>4219.0559999999996</v>
      </c>
      <c r="C130" s="48">
        <v>4530.2</v>
      </c>
      <c r="D130" s="50">
        <v>312.07</v>
      </c>
      <c r="E130" s="49">
        <v>587.84</v>
      </c>
      <c r="F130" s="40">
        <v>166.33500000000001</v>
      </c>
      <c r="G130" s="46">
        <v>463.18799999999999</v>
      </c>
      <c r="H130" s="46">
        <v>110.976</v>
      </c>
      <c r="I130" s="46"/>
      <c r="J130" s="46"/>
      <c r="K130" s="46"/>
      <c r="L130" s="49">
        <v>959.62</v>
      </c>
      <c r="M130" s="49"/>
      <c r="N130" s="49"/>
      <c r="P130" s="30">
        <f t="shared" si="5"/>
        <v>11349.285</v>
      </c>
      <c r="Q130" s="11"/>
    </row>
    <row r="131" spans="1:17" x14ac:dyDescent="0.25">
      <c r="A131" s="78">
        <v>40299</v>
      </c>
      <c r="B131" s="54">
        <v>4312.2960000000003</v>
      </c>
      <c r="C131" s="48">
        <v>4764</v>
      </c>
      <c r="D131" s="50">
        <v>337.63</v>
      </c>
      <c r="E131" s="49">
        <v>568.07000000000005</v>
      </c>
      <c r="F131" s="40">
        <v>246.435</v>
      </c>
      <c r="G131" s="46">
        <v>598.77200000000005</v>
      </c>
      <c r="H131" s="46">
        <v>118.116</v>
      </c>
      <c r="I131" s="46"/>
      <c r="J131" s="46"/>
      <c r="K131" s="46"/>
      <c r="L131" s="49">
        <v>826.24</v>
      </c>
      <c r="M131" s="49"/>
      <c r="N131" s="49"/>
      <c r="P131" s="30">
        <f t="shared" si="5"/>
        <v>11771.558999999999</v>
      </c>
      <c r="Q131" s="11"/>
    </row>
    <row r="132" spans="1:17" x14ac:dyDescent="0.25">
      <c r="A132" s="78">
        <v>40330</v>
      </c>
      <c r="B132" s="54">
        <v>3846.1320000000001</v>
      </c>
      <c r="C132" s="48">
        <v>5869.8</v>
      </c>
      <c r="D132" s="50">
        <v>287.47000000000003</v>
      </c>
      <c r="E132" s="49">
        <v>409.49</v>
      </c>
      <c r="F132" s="40">
        <v>104.655</v>
      </c>
      <c r="G132" s="46">
        <v>578.39300000000003</v>
      </c>
      <c r="H132" s="46">
        <v>127.944</v>
      </c>
      <c r="I132" s="46"/>
      <c r="J132" s="46"/>
      <c r="K132" s="46"/>
      <c r="L132" s="49">
        <v>401.15</v>
      </c>
      <c r="M132" s="49"/>
      <c r="N132" s="49"/>
      <c r="P132" s="30">
        <f t="shared" si="5"/>
        <v>11625.034</v>
      </c>
      <c r="Q132" s="11"/>
    </row>
    <row r="133" spans="1:17" x14ac:dyDescent="0.25">
      <c r="A133" s="78">
        <v>40360</v>
      </c>
      <c r="B133" s="54">
        <v>3329.8569000000002</v>
      </c>
      <c r="C133" s="48">
        <v>6437.9</v>
      </c>
      <c r="D133" s="50">
        <v>348.22</v>
      </c>
      <c r="E133" s="49">
        <v>347.34</v>
      </c>
      <c r="F133" s="40">
        <v>66.614999999999995</v>
      </c>
      <c r="G133" s="46">
        <v>538.45299999999997</v>
      </c>
      <c r="H133" s="46">
        <v>133.548</v>
      </c>
      <c r="I133" s="46"/>
      <c r="J133" s="46"/>
      <c r="K133" s="46"/>
      <c r="L133" s="49">
        <v>345.98</v>
      </c>
      <c r="M133" s="49"/>
      <c r="N133" s="49"/>
      <c r="P133" s="30">
        <f t="shared" si="5"/>
        <v>11547.912899999999</v>
      </c>
      <c r="Q133" s="11"/>
    </row>
    <row r="134" spans="1:17" x14ac:dyDescent="0.25">
      <c r="A134" s="78">
        <v>40391</v>
      </c>
      <c r="B134" s="54">
        <v>1642.248</v>
      </c>
      <c r="C134" s="48">
        <v>7332.6</v>
      </c>
      <c r="D134" s="50">
        <v>331.62</v>
      </c>
      <c r="E134" s="49">
        <v>275.76</v>
      </c>
      <c r="F134" s="40">
        <v>79.185000000000002</v>
      </c>
      <c r="G134" s="46">
        <v>126.048</v>
      </c>
      <c r="H134" s="46">
        <v>473.57499999999999</v>
      </c>
      <c r="I134" s="46"/>
      <c r="J134" s="46"/>
      <c r="K134" s="46"/>
      <c r="L134" s="49">
        <v>754.97</v>
      </c>
      <c r="M134" s="49"/>
      <c r="N134" s="49"/>
      <c r="P134" s="30">
        <f t="shared" si="5"/>
        <v>11016.006000000001</v>
      </c>
      <c r="Q134" s="11"/>
    </row>
    <row r="135" spans="1:17" x14ac:dyDescent="0.25">
      <c r="A135" s="78">
        <v>40422</v>
      </c>
      <c r="B135" s="54" t="s">
        <v>17</v>
      </c>
      <c r="C135" s="48">
        <v>8353</v>
      </c>
      <c r="D135" s="50">
        <v>359.17</v>
      </c>
      <c r="E135" s="49">
        <v>310.38</v>
      </c>
      <c r="F135" s="40">
        <v>70.905000000000001</v>
      </c>
      <c r="G135" s="46">
        <v>295.78500000000003</v>
      </c>
      <c r="H135" s="46">
        <v>109.848</v>
      </c>
      <c r="I135" s="46"/>
      <c r="J135" s="46"/>
      <c r="K135" s="46"/>
      <c r="L135" s="49">
        <f>861.06+653.758</f>
        <v>1514.818</v>
      </c>
      <c r="M135" s="49"/>
      <c r="N135" s="49"/>
      <c r="P135" s="30">
        <f t="shared" si="5"/>
        <v>11013.905999999999</v>
      </c>
      <c r="Q135" s="11"/>
    </row>
    <row r="136" spans="1:17" x14ac:dyDescent="0.25">
      <c r="A136" s="78">
        <v>40452</v>
      </c>
      <c r="B136" s="54">
        <v>2825.34</v>
      </c>
      <c r="C136" s="48">
        <v>5092.3</v>
      </c>
      <c r="D136" s="50">
        <v>369.54</v>
      </c>
      <c r="E136" s="49">
        <v>307.1103</v>
      </c>
      <c r="F136" s="40">
        <v>32.625</v>
      </c>
      <c r="G136" s="46">
        <v>815.26499999999999</v>
      </c>
      <c r="H136" s="46">
        <v>121.224</v>
      </c>
      <c r="I136" s="46"/>
      <c r="J136" s="46"/>
      <c r="K136" s="46"/>
      <c r="L136" s="49">
        <f>355.3+1900.159</f>
        <v>2255.4590000000003</v>
      </c>
      <c r="M136" s="49"/>
      <c r="N136" s="49"/>
      <c r="P136" s="30">
        <f t="shared" si="5"/>
        <v>11818.863300000001</v>
      </c>
      <c r="Q136" s="11"/>
    </row>
    <row r="137" spans="1:17" x14ac:dyDescent="0.25">
      <c r="A137" s="78">
        <v>40483</v>
      </c>
      <c r="B137" s="54">
        <v>3798.48</v>
      </c>
      <c r="C137" s="48">
        <v>4177.6000000000004</v>
      </c>
      <c r="D137" s="50">
        <v>469.17</v>
      </c>
      <c r="E137" s="49">
        <v>351.53</v>
      </c>
      <c r="F137" s="40">
        <v>36.96</v>
      </c>
      <c r="G137" s="46">
        <v>776.851</v>
      </c>
      <c r="H137" s="46">
        <v>127.69199999999999</v>
      </c>
      <c r="I137" s="46"/>
      <c r="J137" s="46"/>
      <c r="K137" s="46"/>
      <c r="L137" s="49">
        <f>1049.58+3837.94</f>
        <v>4887.5200000000004</v>
      </c>
      <c r="M137" s="49"/>
      <c r="N137" s="49"/>
      <c r="P137" s="30">
        <f t="shared" si="5"/>
        <v>14625.803</v>
      </c>
      <c r="Q137" s="11"/>
    </row>
    <row r="138" spans="1:17" x14ac:dyDescent="0.25">
      <c r="A138" s="78">
        <v>40513</v>
      </c>
      <c r="B138" s="54">
        <v>4324.1099999999997</v>
      </c>
      <c r="C138" s="48">
        <v>4021.7</v>
      </c>
      <c r="D138" s="50">
        <v>522.16</v>
      </c>
      <c r="E138" s="49">
        <v>404.46</v>
      </c>
      <c r="F138" s="40">
        <v>85.545000000000002</v>
      </c>
      <c r="G138" s="46">
        <v>608.20399999999995</v>
      </c>
      <c r="H138" s="46">
        <v>73.248000000000005</v>
      </c>
      <c r="I138" s="46"/>
      <c r="J138" s="46"/>
      <c r="K138" s="46"/>
      <c r="L138" s="49">
        <f>936.69+1217.986</f>
        <v>2154.6760000000004</v>
      </c>
      <c r="M138" s="49"/>
      <c r="N138" s="49"/>
      <c r="P138" s="30">
        <f t="shared" si="5"/>
        <v>12194.102999999999</v>
      </c>
      <c r="Q138" s="11"/>
    </row>
    <row r="139" spans="1:17" x14ac:dyDescent="0.25">
      <c r="A139" s="78">
        <v>40544</v>
      </c>
      <c r="B139" s="54">
        <v>3944.01</v>
      </c>
      <c r="C139" s="48">
        <v>3432.3</v>
      </c>
      <c r="D139" s="50">
        <v>506.4</v>
      </c>
      <c r="E139" s="49">
        <v>420.61</v>
      </c>
      <c r="F139" s="40">
        <v>85.394999999999996</v>
      </c>
      <c r="G139" s="46">
        <v>713.22199999999998</v>
      </c>
      <c r="H139" s="49">
        <v>126.876</v>
      </c>
      <c r="I139" s="49"/>
      <c r="J139" s="49"/>
      <c r="K139" s="49"/>
      <c r="L139" s="49">
        <f>1080.26+1255.371</f>
        <v>2335.6310000000003</v>
      </c>
      <c r="M139" s="49"/>
      <c r="N139" s="49"/>
      <c r="P139" s="30">
        <f t="shared" si="5"/>
        <v>11564.444</v>
      </c>
      <c r="Q139" s="11"/>
    </row>
    <row r="140" spans="1:17" x14ac:dyDescent="0.25">
      <c r="A140" s="78">
        <v>40575</v>
      </c>
      <c r="B140" s="54">
        <v>3779.7269999999999</v>
      </c>
      <c r="C140" s="48">
        <v>3368.2</v>
      </c>
      <c r="D140" s="50">
        <v>560.447</v>
      </c>
      <c r="E140" s="49">
        <v>376.84</v>
      </c>
      <c r="F140" s="40">
        <v>59.04</v>
      </c>
      <c r="G140" s="46">
        <v>659.22900000000004</v>
      </c>
      <c r="H140" s="49">
        <v>116.84399999999999</v>
      </c>
      <c r="I140" s="49"/>
      <c r="J140" s="49"/>
      <c r="K140" s="49"/>
      <c r="L140" s="49">
        <f>995.49+1117.37</f>
        <v>2112.8599999999997</v>
      </c>
      <c r="M140" s="49"/>
      <c r="N140" s="49"/>
      <c r="P140" s="30">
        <f t="shared" si="5"/>
        <v>11033.186999999998</v>
      </c>
      <c r="Q140" s="11"/>
    </row>
    <row r="141" spans="1:17" x14ac:dyDescent="0.25">
      <c r="A141" s="78">
        <v>40603</v>
      </c>
      <c r="B141" s="54">
        <v>5001.4650000000001</v>
      </c>
      <c r="C141" s="48">
        <v>3441.7</v>
      </c>
      <c r="D141" s="50">
        <v>618.36</v>
      </c>
      <c r="E141" s="49">
        <v>535.48</v>
      </c>
      <c r="F141" s="40">
        <v>64.23</v>
      </c>
      <c r="G141" s="46">
        <v>848.30600000000004</v>
      </c>
      <c r="H141" s="49">
        <v>117.48</v>
      </c>
      <c r="I141" s="49"/>
      <c r="J141" s="49"/>
      <c r="K141" s="49"/>
      <c r="L141" s="49">
        <f>957.92+1161.162</f>
        <v>2119.0819999999999</v>
      </c>
      <c r="M141" s="49"/>
      <c r="N141" s="49"/>
      <c r="P141" s="30">
        <f t="shared" si="5"/>
        <v>12746.103000000001</v>
      </c>
      <c r="Q141" s="11"/>
    </row>
    <row r="142" spans="1:17" x14ac:dyDescent="0.25">
      <c r="A142" s="78">
        <v>40634</v>
      </c>
      <c r="B142" s="54">
        <v>4409.8819999999996</v>
      </c>
      <c r="C142" s="48">
        <v>4297.8</v>
      </c>
      <c r="D142" s="50">
        <v>259.66000000000003</v>
      </c>
      <c r="E142" s="49">
        <v>590.05999999999995</v>
      </c>
      <c r="F142" s="40">
        <v>64.23</v>
      </c>
      <c r="G142" s="46">
        <v>836.38300000000004</v>
      </c>
      <c r="H142" s="49">
        <v>127.488</v>
      </c>
      <c r="I142" s="49"/>
      <c r="J142" s="49"/>
      <c r="K142" s="49"/>
      <c r="L142" s="49">
        <f>1203.71+758.882</f>
        <v>1962.5920000000001</v>
      </c>
      <c r="M142" s="49"/>
      <c r="N142" s="49"/>
      <c r="P142" s="30">
        <f t="shared" si="5"/>
        <v>12548.094999999999</v>
      </c>
      <c r="Q142" s="11"/>
    </row>
    <row r="143" spans="1:17" x14ac:dyDescent="0.25">
      <c r="A143" s="78">
        <v>40664</v>
      </c>
      <c r="B143" s="54">
        <v>4334.6080000000002</v>
      </c>
      <c r="C143" s="48">
        <v>5699</v>
      </c>
      <c r="D143" s="50">
        <v>401.56</v>
      </c>
      <c r="E143" s="49">
        <v>538.79999999999995</v>
      </c>
      <c r="F143" s="40">
        <v>132.19499999999999</v>
      </c>
      <c r="G143" s="46">
        <v>1114.0714559999999</v>
      </c>
      <c r="H143" s="49">
        <v>130.89599999999999</v>
      </c>
      <c r="I143" s="49"/>
      <c r="J143" s="49"/>
      <c r="K143" s="49"/>
      <c r="L143" s="49">
        <v>1384.46</v>
      </c>
      <c r="M143" s="49"/>
      <c r="N143" s="49"/>
      <c r="P143" s="30">
        <f t="shared" si="5"/>
        <v>13735.590455999998</v>
      </c>
      <c r="Q143" s="11"/>
    </row>
    <row r="144" spans="1:17" x14ac:dyDescent="0.25">
      <c r="A144" s="78">
        <v>40695</v>
      </c>
      <c r="B144" s="54">
        <v>3000.375</v>
      </c>
      <c r="C144" s="48">
        <v>6497.5</v>
      </c>
      <c r="D144" s="50">
        <v>378.16</v>
      </c>
      <c r="E144" s="49">
        <v>301.97000000000003</v>
      </c>
      <c r="F144" s="40">
        <v>82.92</v>
      </c>
      <c r="G144" s="46">
        <v>1013.982016</v>
      </c>
      <c r="H144" s="49">
        <v>124.74</v>
      </c>
      <c r="I144" s="49"/>
      <c r="J144" s="49"/>
      <c r="K144" s="49"/>
      <c r="L144" s="49">
        <v>1248.3699999999999</v>
      </c>
      <c r="M144" s="49"/>
      <c r="N144" s="49"/>
      <c r="P144" s="30">
        <f t="shared" si="5"/>
        <v>12648.017015999998</v>
      </c>
      <c r="Q144" s="11"/>
    </row>
    <row r="145" spans="1:17" x14ac:dyDescent="0.25">
      <c r="A145" s="78">
        <v>40725</v>
      </c>
      <c r="B145" s="54">
        <v>2786.7420000000002</v>
      </c>
      <c r="C145" s="48">
        <v>6917.5</v>
      </c>
      <c r="D145" s="50">
        <v>268.32</v>
      </c>
      <c r="E145" s="49">
        <v>324.63</v>
      </c>
      <c r="F145" s="40">
        <v>88.05</v>
      </c>
      <c r="G145" s="46">
        <v>1291.7688800000001</v>
      </c>
      <c r="H145" s="49">
        <v>129.44399999999999</v>
      </c>
      <c r="I145" s="49"/>
      <c r="J145" s="49"/>
      <c r="K145" s="49"/>
      <c r="L145" s="49">
        <v>948.56</v>
      </c>
      <c r="M145" s="49"/>
      <c r="N145" s="49"/>
      <c r="P145" s="30">
        <f t="shared" si="5"/>
        <v>12755.014879999997</v>
      </c>
      <c r="Q145" s="11"/>
    </row>
    <row r="146" spans="1:17" x14ac:dyDescent="0.25">
      <c r="A146" s="78">
        <v>40756</v>
      </c>
      <c r="B146" s="54">
        <v>2560.9499999999998</v>
      </c>
      <c r="C146" s="48">
        <v>7507.9</v>
      </c>
      <c r="D146" s="50">
        <v>344.78</v>
      </c>
      <c r="E146" s="49">
        <v>264.45</v>
      </c>
      <c r="F146" s="40">
        <v>54.12</v>
      </c>
      <c r="G146" s="46">
        <v>937.66927999999996</v>
      </c>
      <c r="H146" s="49">
        <v>122.496</v>
      </c>
      <c r="I146" s="49"/>
      <c r="J146" s="49"/>
      <c r="K146" s="49"/>
      <c r="L146" s="56" t="s">
        <v>14</v>
      </c>
      <c r="M146" s="56"/>
      <c r="N146" s="56"/>
      <c r="P146" s="30">
        <f t="shared" si="5"/>
        <v>11792.36528</v>
      </c>
      <c r="Q146" s="11"/>
    </row>
    <row r="147" spans="1:17" x14ac:dyDescent="0.25">
      <c r="A147" s="78">
        <v>40787</v>
      </c>
      <c r="B147" s="54">
        <v>3098.1819999999998</v>
      </c>
      <c r="C147" s="48">
        <v>4792.8</v>
      </c>
      <c r="D147" s="50">
        <v>338.13</v>
      </c>
      <c r="E147" s="49">
        <v>287.37</v>
      </c>
      <c r="F147" s="48">
        <v>67.53</v>
      </c>
      <c r="G147" s="49">
        <v>943.51558</v>
      </c>
      <c r="H147" s="46">
        <v>112.69199999999999</v>
      </c>
      <c r="I147" s="46"/>
      <c r="J147" s="46"/>
      <c r="K147" s="46"/>
      <c r="L147" s="49">
        <v>247.68</v>
      </c>
      <c r="M147" s="49"/>
      <c r="N147" s="49"/>
      <c r="P147" s="30">
        <f t="shared" si="5"/>
        <v>9887.8995799999993</v>
      </c>
      <c r="Q147" s="11"/>
    </row>
    <row r="148" spans="1:17" x14ac:dyDescent="0.25">
      <c r="A148" s="78">
        <v>40817</v>
      </c>
      <c r="B148" s="54">
        <v>3495.9645</v>
      </c>
      <c r="C148" s="48">
        <v>3522.8</v>
      </c>
      <c r="D148" s="50">
        <v>357.46</v>
      </c>
      <c r="E148" s="49">
        <v>384.64</v>
      </c>
      <c r="F148" s="40">
        <v>184.02</v>
      </c>
      <c r="G148" s="49">
        <v>1090.8171</v>
      </c>
      <c r="H148" s="46">
        <v>110.02800000000001</v>
      </c>
      <c r="I148" s="72">
        <v>0</v>
      </c>
      <c r="J148" s="72"/>
      <c r="K148" s="72"/>
      <c r="L148" s="49">
        <v>524.71</v>
      </c>
      <c r="M148" s="49"/>
      <c r="N148" s="49"/>
      <c r="P148" s="30">
        <f t="shared" si="5"/>
        <v>9670.4396000000015</v>
      </c>
      <c r="Q148" s="11"/>
    </row>
    <row r="149" spans="1:17" x14ac:dyDescent="0.25">
      <c r="A149" s="78">
        <v>40848</v>
      </c>
      <c r="B149" s="28">
        <v>4703.0450000000001</v>
      </c>
      <c r="C149" s="55">
        <v>3688.1</v>
      </c>
      <c r="D149" s="50">
        <v>410.89</v>
      </c>
      <c r="E149" s="49">
        <v>536.64</v>
      </c>
      <c r="F149" s="40">
        <v>227.41499999999999</v>
      </c>
      <c r="G149" s="49">
        <v>868.77589999999998</v>
      </c>
      <c r="H149" s="46">
        <v>116.46</v>
      </c>
      <c r="I149" s="72">
        <v>0</v>
      </c>
      <c r="J149" s="72"/>
      <c r="K149" s="72"/>
      <c r="L149" s="49">
        <v>20.86</v>
      </c>
      <c r="M149" s="49"/>
      <c r="N149" s="49"/>
      <c r="P149" s="30">
        <f t="shared" si="5"/>
        <v>10572.1859</v>
      </c>
      <c r="Q149" s="11"/>
    </row>
    <row r="150" spans="1:17" x14ac:dyDescent="0.25">
      <c r="A150" s="78">
        <v>40878</v>
      </c>
      <c r="B150" s="57">
        <v>5460.6819999999998</v>
      </c>
      <c r="C150" s="55">
        <v>4378.1000000000004</v>
      </c>
      <c r="D150" s="50">
        <v>552.30999999999995</v>
      </c>
      <c r="E150" s="49">
        <v>578.9</v>
      </c>
      <c r="F150" s="40">
        <v>302.7</v>
      </c>
      <c r="G150" s="49">
        <v>783.46126000000004</v>
      </c>
      <c r="H150" s="46">
        <v>141.036</v>
      </c>
      <c r="I150" s="72">
        <v>0</v>
      </c>
      <c r="J150" s="72"/>
      <c r="K150" s="72"/>
      <c r="L150" s="56" t="s">
        <v>14</v>
      </c>
      <c r="M150" s="56"/>
      <c r="N150" s="56"/>
      <c r="P150" s="30">
        <f t="shared" si="5"/>
        <v>12197.189259999999</v>
      </c>
      <c r="Q150" s="11"/>
    </row>
    <row r="151" spans="1:17" x14ac:dyDescent="0.25">
      <c r="A151" s="78">
        <v>40909</v>
      </c>
      <c r="B151" s="57">
        <v>4421.9279999999999</v>
      </c>
      <c r="C151" s="55">
        <v>6503.5</v>
      </c>
      <c r="D151" s="50">
        <v>373.83</v>
      </c>
      <c r="E151" s="49">
        <v>349.48</v>
      </c>
      <c r="F151" s="40">
        <v>110.49</v>
      </c>
      <c r="G151" s="49">
        <v>866.428</v>
      </c>
      <c r="H151" s="46">
        <v>144.92400000000001</v>
      </c>
      <c r="I151" s="72">
        <v>0</v>
      </c>
      <c r="J151" s="72"/>
      <c r="K151" s="72"/>
      <c r="L151" s="56" t="s">
        <v>14</v>
      </c>
      <c r="M151" s="56"/>
      <c r="N151" s="56"/>
      <c r="P151" s="30">
        <f t="shared" si="5"/>
        <v>12770.58</v>
      </c>
      <c r="Q151" s="11"/>
    </row>
    <row r="152" spans="1:17" x14ac:dyDescent="0.25">
      <c r="A152" s="78">
        <v>40940</v>
      </c>
      <c r="B152" s="57">
        <v>5857.7084999999997</v>
      </c>
      <c r="C152" s="55">
        <v>6224.9</v>
      </c>
      <c r="D152" s="50">
        <v>311.67</v>
      </c>
      <c r="E152" s="49">
        <v>493.25</v>
      </c>
      <c r="F152" s="40">
        <v>67.125</v>
      </c>
      <c r="G152" s="49">
        <v>858.11599999999999</v>
      </c>
      <c r="H152" s="46">
        <v>129.24</v>
      </c>
      <c r="I152" s="72">
        <v>0</v>
      </c>
      <c r="J152" s="72"/>
      <c r="K152" s="72"/>
      <c r="L152" s="56" t="s">
        <v>14</v>
      </c>
      <c r="M152" s="56"/>
      <c r="N152" s="56"/>
      <c r="P152" s="30">
        <f t="shared" si="5"/>
        <v>13942.009499999998</v>
      </c>
      <c r="Q152" s="11"/>
    </row>
    <row r="153" spans="1:17" x14ac:dyDescent="0.25">
      <c r="A153" s="78">
        <v>40969</v>
      </c>
      <c r="B153" s="58">
        <v>4750.0320000000002</v>
      </c>
      <c r="C153" s="58">
        <v>6243.9</v>
      </c>
      <c r="D153" s="50">
        <v>171.1</v>
      </c>
      <c r="E153" s="49">
        <v>674.79</v>
      </c>
      <c r="F153" s="40">
        <v>79.8</v>
      </c>
      <c r="G153" s="49">
        <v>679.62099999999998</v>
      </c>
      <c r="H153" s="46">
        <v>134.184</v>
      </c>
      <c r="I153" s="72">
        <v>0</v>
      </c>
      <c r="J153" s="72"/>
      <c r="K153" s="72"/>
      <c r="L153" s="56" t="s">
        <v>14</v>
      </c>
      <c r="M153" s="56"/>
      <c r="N153" s="56"/>
      <c r="P153" s="30">
        <f t="shared" si="5"/>
        <v>12733.426999999998</v>
      </c>
      <c r="Q153" s="11"/>
    </row>
    <row r="154" spans="1:17" x14ac:dyDescent="0.25">
      <c r="A154" s="78">
        <v>41000</v>
      </c>
      <c r="B154" s="57">
        <v>5104.4070000000002</v>
      </c>
      <c r="C154" s="58">
        <v>5507.7</v>
      </c>
      <c r="D154" s="50">
        <v>298.68</v>
      </c>
      <c r="E154" s="49">
        <v>534.74</v>
      </c>
      <c r="F154" s="40">
        <v>119.41500000000001</v>
      </c>
      <c r="G154" s="49">
        <v>672.56700000000001</v>
      </c>
      <c r="H154" s="46">
        <v>134.28</v>
      </c>
      <c r="I154" s="72">
        <v>0</v>
      </c>
      <c r="J154" s="72"/>
      <c r="K154" s="72"/>
      <c r="L154" s="56" t="s">
        <v>14</v>
      </c>
      <c r="M154" s="56"/>
      <c r="N154" s="56"/>
      <c r="P154" s="30">
        <f t="shared" si="5"/>
        <v>12371.789000000002</v>
      </c>
      <c r="Q154" s="11"/>
    </row>
    <row r="155" spans="1:17" x14ac:dyDescent="0.25">
      <c r="A155" s="78">
        <v>41030</v>
      </c>
      <c r="B155" s="57">
        <v>5481.4409999999998</v>
      </c>
      <c r="C155" s="58">
        <v>4751.8</v>
      </c>
      <c r="D155" s="50">
        <v>722.04</v>
      </c>
      <c r="E155" s="49">
        <v>631.09</v>
      </c>
      <c r="F155" s="40">
        <v>205.5</v>
      </c>
      <c r="G155" s="49">
        <v>851.80100000000004</v>
      </c>
      <c r="H155" s="46">
        <v>139.11600000000001</v>
      </c>
      <c r="I155" s="72">
        <v>0</v>
      </c>
      <c r="J155" s="72"/>
      <c r="K155" s="72"/>
      <c r="L155" s="56" t="s">
        <v>14</v>
      </c>
      <c r="M155" s="56"/>
      <c r="N155" s="56"/>
      <c r="P155" s="30">
        <f t="shared" si="5"/>
        <v>12782.787999999999</v>
      </c>
      <c r="Q155" s="11"/>
    </row>
    <row r="156" spans="1:17" x14ac:dyDescent="0.25">
      <c r="A156" s="78">
        <v>41061</v>
      </c>
      <c r="B156" s="57">
        <v>4054.134</v>
      </c>
      <c r="C156" s="58">
        <v>6001.8</v>
      </c>
      <c r="D156" s="50">
        <v>666.81</v>
      </c>
      <c r="E156" s="49">
        <v>533.66999999999996</v>
      </c>
      <c r="F156" s="48">
        <v>87.03</v>
      </c>
      <c r="G156" s="49">
        <v>823.30899999999997</v>
      </c>
      <c r="H156" s="49">
        <v>64.8</v>
      </c>
      <c r="I156" s="72">
        <v>0</v>
      </c>
      <c r="J156" s="72"/>
      <c r="K156" s="72"/>
      <c r="L156" s="49">
        <v>63.89</v>
      </c>
      <c r="M156" s="49"/>
      <c r="N156" s="49"/>
      <c r="P156" s="30">
        <f t="shared" si="5"/>
        <v>12295.442999999999</v>
      </c>
      <c r="Q156" s="11"/>
    </row>
    <row r="157" spans="1:17" x14ac:dyDescent="0.25">
      <c r="A157" s="78">
        <v>41091</v>
      </c>
      <c r="B157" s="57">
        <v>3247.6039999999998</v>
      </c>
      <c r="C157" s="58">
        <v>5469.4</v>
      </c>
      <c r="D157" s="50">
        <v>699.42</v>
      </c>
      <c r="E157" s="49">
        <v>438.54</v>
      </c>
      <c r="F157" s="40">
        <v>95.204999999999998</v>
      </c>
      <c r="G157" s="49">
        <v>824.14599999999996</v>
      </c>
      <c r="H157" s="49">
        <v>65.004000000000005</v>
      </c>
      <c r="I157" s="72">
        <v>0</v>
      </c>
      <c r="J157" s="72"/>
      <c r="K157" s="72"/>
      <c r="L157" s="49">
        <v>367.54</v>
      </c>
      <c r="M157" s="49"/>
      <c r="N157" s="49"/>
      <c r="P157" s="30">
        <f t="shared" si="5"/>
        <v>11206.859000000002</v>
      </c>
      <c r="Q157" s="11"/>
    </row>
    <row r="158" spans="1:17" x14ac:dyDescent="0.25">
      <c r="A158" s="78">
        <v>41122</v>
      </c>
      <c r="B158" s="57">
        <v>2900.288</v>
      </c>
      <c r="C158" s="58">
        <v>5014.3999999999996</v>
      </c>
      <c r="D158" s="50">
        <v>549.83000000000004</v>
      </c>
      <c r="E158" s="49">
        <v>383.3</v>
      </c>
      <c r="F158" s="40">
        <v>75.66</v>
      </c>
      <c r="G158" s="49">
        <v>774.745</v>
      </c>
      <c r="H158" s="49">
        <v>104.43600000000001</v>
      </c>
      <c r="I158" s="72">
        <v>0</v>
      </c>
      <c r="J158" s="72"/>
      <c r="K158" s="72"/>
      <c r="L158" s="49">
        <v>573.91999999999996</v>
      </c>
      <c r="M158" s="49"/>
      <c r="N158" s="49"/>
      <c r="P158" s="30">
        <f t="shared" si="5"/>
        <v>10376.579</v>
      </c>
      <c r="Q158" s="11"/>
    </row>
    <row r="159" spans="1:17" x14ac:dyDescent="0.25">
      <c r="A159" s="78">
        <v>41153</v>
      </c>
      <c r="B159" s="57">
        <v>2948.2950000000001</v>
      </c>
      <c r="C159" s="58">
        <v>4688.5</v>
      </c>
      <c r="D159" s="50">
        <v>591.73</v>
      </c>
      <c r="E159" s="49">
        <v>368.6</v>
      </c>
      <c r="F159" s="40">
        <v>58.38</v>
      </c>
      <c r="G159" s="49">
        <v>545.48699999999997</v>
      </c>
      <c r="H159" s="49">
        <v>118.104</v>
      </c>
      <c r="I159" s="72">
        <v>0</v>
      </c>
      <c r="J159" s="72"/>
      <c r="K159" s="72"/>
      <c r="L159" s="49">
        <v>712.13</v>
      </c>
      <c r="M159" s="49"/>
      <c r="N159" s="49"/>
      <c r="P159" s="30">
        <f t="shared" si="5"/>
        <v>10031.225999999997</v>
      </c>
      <c r="Q159" s="11"/>
    </row>
    <row r="160" spans="1:17" x14ac:dyDescent="0.25">
      <c r="A160" s="78">
        <v>41183</v>
      </c>
      <c r="B160" s="57">
        <v>3881.8290000000002</v>
      </c>
      <c r="C160" s="58">
        <v>5046.1000000000004</v>
      </c>
      <c r="D160" s="50">
        <v>595.85</v>
      </c>
      <c r="E160" s="49">
        <v>366.65</v>
      </c>
      <c r="F160" s="40">
        <v>45.21</v>
      </c>
      <c r="G160" s="49">
        <v>745.346</v>
      </c>
      <c r="H160" s="49">
        <v>111.096</v>
      </c>
      <c r="I160" s="72">
        <v>0</v>
      </c>
      <c r="J160" s="72"/>
      <c r="K160" s="72"/>
      <c r="L160" s="49">
        <v>480.65</v>
      </c>
      <c r="M160" s="49"/>
      <c r="N160" s="49"/>
      <c r="P160" s="30">
        <f t="shared" ref="P160:P191" si="6">SUM(B160:L160)</f>
        <v>11272.730999999998</v>
      </c>
      <c r="Q160" s="11"/>
    </row>
    <row r="161" spans="1:17" x14ac:dyDescent="0.25">
      <c r="A161" s="78">
        <v>41214</v>
      </c>
      <c r="B161" s="57">
        <v>3869.7170000000001</v>
      </c>
      <c r="C161" s="58">
        <v>4701.5</v>
      </c>
      <c r="D161" s="50">
        <v>746.03</v>
      </c>
      <c r="E161" s="49">
        <v>330.46</v>
      </c>
      <c r="F161" s="40">
        <v>108.48</v>
      </c>
      <c r="G161" s="49">
        <v>829.47799999999995</v>
      </c>
      <c r="H161" s="49">
        <v>114.696</v>
      </c>
      <c r="I161" s="72">
        <v>0</v>
      </c>
      <c r="J161" s="72"/>
      <c r="K161" s="72"/>
      <c r="L161" s="49">
        <v>248.47</v>
      </c>
      <c r="M161" s="49"/>
      <c r="N161" s="49"/>
      <c r="P161" s="30">
        <f t="shared" si="6"/>
        <v>10948.830999999998</v>
      </c>
      <c r="Q161" s="11"/>
    </row>
    <row r="162" spans="1:17" x14ac:dyDescent="0.25">
      <c r="A162" s="78">
        <v>41244</v>
      </c>
      <c r="B162" s="28">
        <v>4811.3940000000002</v>
      </c>
      <c r="C162" s="58">
        <v>3579.3</v>
      </c>
      <c r="D162" s="50">
        <v>867.72</v>
      </c>
      <c r="E162" s="49">
        <v>135.58000000000001</v>
      </c>
      <c r="F162" s="48">
        <v>139.19999999999999</v>
      </c>
      <c r="G162" s="49">
        <v>854.40099999999995</v>
      </c>
      <c r="H162" s="49">
        <v>133.95599999999999</v>
      </c>
      <c r="I162" s="72">
        <v>0</v>
      </c>
      <c r="J162" s="72"/>
      <c r="K162" s="72"/>
      <c r="L162" s="49">
        <v>441</v>
      </c>
      <c r="M162" s="49"/>
      <c r="N162" s="49"/>
      <c r="P162" s="30">
        <f t="shared" si="6"/>
        <v>10962.550999999999</v>
      </c>
      <c r="Q162" s="11"/>
    </row>
    <row r="163" spans="1:17" x14ac:dyDescent="0.25">
      <c r="A163" s="78">
        <v>41275</v>
      </c>
      <c r="B163" s="28">
        <v>4730.5230000000001</v>
      </c>
      <c r="C163" s="33">
        <v>3302.9</v>
      </c>
      <c r="D163" s="50">
        <v>666.54</v>
      </c>
      <c r="E163" s="49">
        <v>159.04</v>
      </c>
      <c r="F163" s="40">
        <v>219.255</v>
      </c>
      <c r="G163" s="49">
        <v>799.57100000000003</v>
      </c>
      <c r="H163" s="49">
        <v>90.768000000000001</v>
      </c>
      <c r="I163" s="72">
        <v>0</v>
      </c>
      <c r="J163" s="72"/>
      <c r="K163" s="72"/>
      <c r="L163" s="49">
        <v>483.83</v>
      </c>
      <c r="M163" s="49"/>
      <c r="N163" s="49"/>
      <c r="P163" s="30">
        <f t="shared" si="6"/>
        <v>10452.427</v>
      </c>
      <c r="Q163" s="11"/>
    </row>
    <row r="164" spans="1:17" x14ac:dyDescent="0.25">
      <c r="A164" s="78">
        <v>41306</v>
      </c>
      <c r="B164" s="33">
        <v>4185.7830000000004</v>
      </c>
      <c r="C164" s="33">
        <v>3583.4</v>
      </c>
      <c r="D164" s="50">
        <v>743.78</v>
      </c>
      <c r="E164" s="49">
        <v>465.18</v>
      </c>
      <c r="F164" s="40">
        <v>128.14500000000001</v>
      </c>
      <c r="G164" s="49">
        <v>702.29399999999998</v>
      </c>
      <c r="H164" s="49">
        <v>73.007999999999996</v>
      </c>
      <c r="I164" s="72">
        <v>0</v>
      </c>
      <c r="J164" s="72"/>
      <c r="K164" s="72"/>
      <c r="L164" s="49">
        <v>332.32</v>
      </c>
      <c r="M164" s="49"/>
      <c r="N164" s="49"/>
      <c r="P164" s="30">
        <f t="shared" si="6"/>
        <v>10213.910000000002</v>
      </c>
      <c r="Q164" s="11"/>
    </row>
    <row r="165" spans="1:17" x14ac:dyDescent="0.25">
      <c r="A165" s="78">
        <v>41334</v>
      </c>
      <c r="B165" s="33">
        <v>4875.9059999999999</v>
      </c>
      <c r="C165" s="33">
        <v>5007.6000000000004</v>
      </c>
      <c r="D165" s="50">
        <v>945.43</v>
      </c>
      <c r="E165" s="49">
        <v>515.53</v>
      </c>
      <c r="F165" s="40">
        <v>134.625</v>
      </c>
      <c r="G165" s="49">
        <v>771.93600000000004</v>
      </c>
      <c r="H165" s="49">
        <v>90.575999999999993</v>
      </c>
      <c r="I165" s="72">
        <v>0</v>
      </c>
      <c r="J165" s="72"/>
      <c r="K165" s="72"/>
      <c r="L165" s="49">
        <v>485.85</v>
      </c>
      <c r="M165" s="49"/>
      <c r="N165" s="49"/>
      <c r="P165" s="30">
        <f t="shared" si="6"/>
        <v>12827.453000000001</v>
      </c>
      <c r="Q165" s="11"/>
    </row>
    <row r="166" spans="1:17" x14ac:dyDescent="0.25">
      <c r="A166" s="78">
        <v>41365</v>
      </c>
      <c r="B166" s="33">
        <v>5674.0950000000003</v>
      </c>
      <c r="C166" s="33">
        <v>3416.3</v>
      </c>
      <c r="D166" s="50">
        <v>886.11</v>
      </c>
      <c r="E166" s="49">
        <v>456.98</v>
      </c>
      <c r="F166" s="40">
        <v>214.74</v>
      </c>
      <c r="G166" s="49">
        <v>813.95299999999997</v>
      </c>
      <c r="H166" s="49">
        <v>88.488</v>
      </c>
      <c r="I166" s="72">
        <v>0</v>
      </c>
      <c r="J166" s="72"/>
      <c r="K166" s="72"/>
      <c r="L166" s="49">
        <f>149.01+889.824</f>
        <v>1038.8339999999998</v>
      </c>
      <c r="M166" s="49"/>
      <c r="N166" s="49"/>
      <c r="P166" s="30">
        <f t="shared" si="6"/>
        <v>12589.5</v>
      </c>
      <c r="Q166" s="11"/>
    </row>
    <row r="167" spans="1:17" x14ac:dyDescent="0.25">
      <c r="A167" s="78">
        <v>41395</v>
      </c>
      <c r="B167" s="33">
        <v>4844.6369999999997</v>
      </c>
      <c r="C167" s="33">
        <v>5774.2</v>
      </c>
      <c r="D167" s="50">
        <v>963.58</v>
      </c>
      <c r="E167" s="49">
        <v>43.59</v>
      </c>
      <c r="F167" s="40">
        <v>189.64500000000001</v>
      </c>
      <c r="G167" s="49">
        <v>657.44500000000005</v>
      </c>
      <c r="H167" s="49">
        <v>76.236000000000004</v>
      </c>
      <c r="I167" s="72">
        <v>0</v>
      </c>
      <c r="J167" s="72"/>
      <c r="K167" s="72"/>
      <c r="L167" s="49">
        <f>59.47+1391.387</f>
        <v>1450.857</v>
      </c>
      <c r="M167" s="49"/>
      <c r="N167" s="49"/>
      <c r="P167" s="30">
        <f t="shared" si="6"/>
        <v>14000.19</v>
      </c>
      <c r="Q167" s="11"/>
    </row>
    <row r="168" spans="1:17" x14ac:dyDescent="0.25">
      <c r="A168" s="78">
        <v>41426</v>
      </c>
      <c r="B168" s="31">
        <v>3462.627</v>
      </c>
      <c r="C168" s="33">
        <v>5693.2</v>
      </c>
      <c r="D168" s="50">
        <v>823.14</v>
      </c>
      <c r="E168" s="49">
        <v>355.45</v>
      </c>
      <c r="F168" s="40">
        <v>130.77000000000001</v>
      </c>
      <c r="G168" s="49">
        <v>874.29399999999998</v>
      </c>
      <c r="H168" s="49">
        <v>82.296000000000006</v>
      </c>
      <c r="I168" s="72">
        <v>0</v>
      </c>
      <c r="J168" s="72"/>
      <c r="K168" s="72"/>
      <c r="L168" s="49">
        <f>92.04+1540.658</f>
        <v>1632.6979999999999</v>
      </c>
      <c r="M168" s="49"/>
      <c r="N168" s="49"/>
      <c r="P168" s="30">
        <f t="shared" si="6"/>
        <v>13054.475</v>
      </c>
      <c r="Q168" s="11"/>
    </row>
    <row r="169" spans="1:17" x14ac:dyDescent="0.25">
      <c r="A169" s="78">
        <v>41456</v>
      </c>
      <c r="B169" s="31">
        <v>2921.0160000000001</v>
      </c>
      <c r="C169" s="33">
        <v>7093.8</v>
      </c>
      <c r="D169" s="50">
        <v>714.59</v>
      </c>
      <c r="E169" s="49">
        <v>358.85</v>
      </c>
      <c r="F169" s="40">
        <v>87.75</v>
      </c>
      <c r="G169" s="49">
        <v>709.55799999999999</v>
      </c>
      <c r="H169" s="49">
        <v>83.531999999999996</v>
      </c>
      <c r="I169" s="72">
        <v>0</v>
      </c>
      <c r="J169" s="72"/>
      <c r="K169" s="72"/>
      <c r="L169" s="49">
        <f>36.51+1552.156</f>
        <v>1588.6659999999999</v>
      </c>
      <c r="M169" s="49"/>
      <c r="N169" s="49"/>
      <c r="P169" s="30">
        <f t="shared" si="6"/>
        <v>13557.762000000001</v>
      </c>
      <c r="Q169" s="11"/>
    </row>
    <row r="170" spans="1:17" x14ac:dyDescent="0.25">
      <c r="A170" s="78">
        <v>41487</v>
      </c>
      <c r="B170" s="31">
        <v>2912.721</v>
      </c>
      <c r="C170" s="33">
        <v>7232.02</v>
      </c>
      <c r="D170" s="50">
        <v>655.1</v>
      </c>
      <c r="E170" s="49">
        <v>340.16</v>
      </c>
      <c r="F170" s="40">
        <v>52.38</v>
      </c>
      <c r="G170" s="49">
        <v>861.17899999999997</v>
      </c>
      <c r="H170" s="49">
        <v>70.775999999999996</v>
      </c>
      <c r="I170" s="72">
        <v>0</v>
      </c>
      <c r="J170" s="72"/>
      <c r="K170" s="72"/>
      <c r="L170" s="49">
        <f>689.282+1559.996</f>
        <v>2249.2780000000002</v>
      </c>
      <c r="M170" s="49"/>
      <c r="N170" s="49"/>
      <c r="P170" s="30">
        <f t="shared" si="6"/>
        <v>14373.614</v>
      </c>
      <c r="Q170" s="11"/>
    </row>
    <row r="171" spans="1:17" x14ac:dyDescent="0.25">
      <c r="A171" s="78">
        <v>41518</v>
      </c>
      <c r="B171" s="31">
        <v>2905.5390000000002</v>
      </c>
      <c r="C171" s="33">
        <v>6825</v>
      </c>
      <c r="D171" s="50">
        <v>546.82000000000005</v>
      </c>
      <c r="E171" s="49">
        <v>321.89999999999998</v>
      </c>
      <c r="F171" s="40">
        <v>34.365000000000002</v>
      </c>
      <c r="G171" s="49">
        <v>813.46799999999996</v>
      </c>
      <c r="H171" s="49">
        <v>81.683999999999997</v>
      </c>
      <c r="I171" s="72">
        <v>0</v>
      </c>
      <c r="J171" s="72"/>
      <c r="K171" s="72"/>
      <c r="L171" s="49">
        <f>1295.534+1492.039</f>
        <v>2787.5730000000003</v>
      </c>
      <c r="M171" s="49"/>
      <c r="N171" s="49"/>
      <c r="P171" s="30">
        <f t="shared" si="6"/>
        <v>14316.349</v>
      </c>
      <c r="Q171" s="11"/>
    </row>
    <row r="172" spans="1:17" x14ac:dyDescent="0.25">
      <c r="A172" s="78">
        <v>41548</v>
      </c>
      <c r="B172" s="31">
        <v>3148.74</v>
      </c>
      <c r="C172" s="33">
        <v>7431.9</v>
      </c>
      <c r="D172" s="50">
        <v>604.5</v>
      </c>
      <c r="E172" s="49">
        <v>347.43</v>
      </c>
      <c r="F172" s="40">
        <v>69.122</v>
      </c>
      <c r="G172" s="49">
        <v>781.22900000000004</v>
      </c>
      <c r="H172" s="49">
        <v>83.7</v>
      </c>
      <c r="I172" s="49">
        <v>181.685</v>
      </c>
      <c r="J172" s="49"/>
      <c r="K172" s="49"/>
      <c r="L172" s="49">
        <f>802.308+1371.764</f>
        <v>2174.0720000000001</v>
      </c>
      <c r="M172" s="49"/>
      <c r="N172" s="49"/>
      <c r="P172" s="30">
        <f t="shared" si="6"/>
        <v>14822.377999999999</v>
      </c>
      <c r="Q172" s="11"/>
    </row>
    <row r="173" spans="1:17" x14ac:dyDescent="0.25">
      <c r="A173" s="78">
        <v>41579</v>
      </c>
      <c r="B173" s="31">
        <v>4001.6550000000002</v>
      </c>
      <c r="C173" s="33">
        <v>4479.3999999999996</v>
      </c>
      <c r="D173" s="50">
        <v>623.02</v>
      </c>
      <c r="E173" s="49">
        <v>423.62</v>
      </c>
      <c r="F173" s="40">
        <v>115.075</v>
      </c>
      <c r="G173" s="49">
        <v>819.42499999999995</v>
      </c>
      <c r="H173" s="49">
        <v>79.763999999999996</v>
      </c>
      <c r="I173" s="49">
        <v>202.51900000000001</v>
      </c>
      <c r="J173" s="49"/>
      <c r="K173" s="49"/>
      <c r="L173" s="49">
        <f>54.017+2245.326</f>
        <v>2299.3429999999998</v>
      </c>
      <c r="M173" s="49"/>
      <c r="N173" s="49"/>
      <c r="P173" s="30">
        <f t="shared" si="6"/>
        <v>13043.821</v>
      </c>
      <c r="Q173" s="11"/>
    </row>
    <row r="174" spans="1:17" x14ac:dyDescent="0.25">
      <c r="A174" s="78">
        <v>41609</v>
      </c>
      <c r="B174" s="33">
        <v>5286.5190000000002</v>
      </c>
      <c r="C174" s="32">
        <v>4026.7</v>
      </c>
      <c r="D174" s="50">
        <v>426.65</v>
      </c>
      <c r="E174" s="49">
        <v>606.87</v>
      </c>
      <c r="F174" s="40">
        <v>201.94499999999999</v>
      </c>
      <c r="G174" s="49">
        <v>860.33699999999999</v>
      </c>
      <c r="H174" s="49">
        <v>90.756</v>
      </c>
      <c r="I174" s="49">
        <v>239.50800000000001</v>
      </c>
      <c r="J174" s="49"/>
      <c r="K174" s="49"/>
      <c r="L174" s="49">
        <f>41.791+2528.267+1559.676</f>
        <v>4129.7340000000004</v>
      </c>
      <c r="M174" s="49"/>
      <c r="N174" s="49"/>
      <c r="P174" s="30">
        <f t="shared" si="6"/>
        <v>15869.019</v>
      </c>
      <c r="Q174" s="11"/>
    </row>
    <row r="175" spans="1:17" x14ac:dyDescent="0.25">
      <c r="A175" s="78">
        <v>41640</v>
      </c>
      <c r="B175" s="33">
        <v>5472.4319999999998</v>
      </c>
      <c r="C175" s="33">
        <v>4534.1000000000004</v>
      </c>
      <c r="D175" s="50">
        <v>716.09</v>
      </c>
      <c r="E175" s="49">
        <v>580.19000000000005</v>
      </c>
      <c r="F175" s="40">
        <v>85.47</v>
      </c>
      <c r="G175" s="49">
        <v>995.16200000000003</v>
      </c>
      <c r="H175" s="49">
        <v>87.144000000000005</v>
      </c>
      <c r="I175" s="49">
        <v>258.92899999999997</v>
      </c>
      <c r="J175" s="49"/>
      <c r="K175" s="49"/>
      <c r="L175" s="49">
        <f>54.38+1192.329+1559.716</f>
        <v>2806.4250000000002</v>
      </c>
      <c r="M175" s="49"/>
      <c r="N175" s="49"/>
      <c r="P175" s="30">
        <f t="shared" si="6"/>
        <v>15535.941999999999</v>
      </c>
      <c r="Q175" s="11"/>
    </row>
    <row r="176" spans="1:17" x14ac:dyDescent="0.25">
      <c r="A176" s="78">
        <v>41671</v>
      </c>
      <c r="B176" s="33">
        <v>5211.192</v>
      </c>
      <c r="C176" s="33">
        <v>6074.7</v>
      </c>
      <c r="D176" s="33">
        <v>762.79</v>
      </c>
      <c r="E176" s="33">
        <v>526.02</v>
      </c>
      <c r="F176" s="33">
        <v>160.45500000000001</v>
      </c>
      <c r="G176" s="33">
        <v>455.98200000000003</v>
      </c>
      <c r="H176" s="33">
        <v>76.668000000000006</v>
      </c>
      <c r="I176" s="33">
        <v>192.24299999999999</v>
      </c>
      <c r="J176" s="33"/>
      <c r="K176" s="33"/>
      <c r="L176" s="33">
        <f>96.95+220.786+1536.916</f>
        <v>1854.652</v>
      </c>
      <c r="M176" s="33"/>
      <c r="N176" s="33"/>
      <c r="P176" s="33">
        <f t="shared" si="6"/>
        <v>15314.702000000001</v>
      </c>
      <c r="Q176" s="11"/>
    </row>
    <row r="177" spans="1:17" x14ac:dyDescent="0.25">
      <c r="A177" s="78">
        <v>41699</v>
      </c>
      <c r="B177" s="33">
        <v>5395.9679999999998</v>
      </c>
      <c r="C177" s="33">
        <v>6845.3</v>
      </c>
      <c r="D177" s="50">
        <v>818.9</v>
      </c>
      <c r="E177" s="49">
        <v>578.51</v>
      </c>
      <c r="F177" s="40">
        <v>148.935</v>
      </c>
      <c r="G177" s="49">
        <v>448.66500000000002</v>
      </c>
      <c r="H177" s="49">
        <v>91.968000000000004</v>
      </c>
      <c r="I177" s="49">
        <v>250.87</v>
      </c>
      <c r="J177" s="49"/>
      <c r="K177" s="49"/>
      <c r="L177" s="49">
        <f>554.971+1559.989</f>
        <v>2114.96</v>
      </c>
      <c r="M177" s="49"/>
      <c r="N177" s="49"/>
      <c r="P177" s="33">
        <f t="shared" si="6"/>
        <v>16694.076000000001</v>
      </c>
      <c r="Q177" s="11"/>
    </row>
    <row r="178" spans="1:17" x14ac:dyDescent="0.25">
      <c r="A178" s="78">
        <v>41730</v>
      </c>
      <c r="B178" s="33">
        <v>5607.1869999999999</v>
      </c>
      <c r="C178" s="33">
        <v>4814</v>
      </c>
      <c r="D178" s="50">
        <v>898.2</v>
      </c>
      <c r="E178" s="49">
        <v>658.97</v>
      </c>
      <c r="F178" s="40">
        <v>82.05</v>
      </c>
      <c r="G178" s="49">
        <v>670.69</v>
      </c>
      <c r="H178" s="49">
        <v>71.891999999999996</v>
      </c>
      <c r="I178" s="49">
        <v>236.42</v>
      </c>
      <c r="J178" s="49"/>
      <c r="K178" s="49"/>
      <c r="L178" s="49">
        <f>88.11+704.179+1559.256</f>
        <v>2351.5450000000001</v>
      </c>
      <c r="M178" s="49"/>
      <c r="N178" s="49"/>
      <c r="P178" s="33">
        <f t="shared" si="6"/>
        <v>15390.954</v>
      </c>
      <c r="Q178" s="11"/>
    </row>
    <row r="179" spans="1:17" x14ac:dyDescent="0.25">
      <c r="A179" s="78">
        <v>41760</v>
      </c>
      <c r="B179" s="33">
        <v>4477.8379999999997</v>
      </c>
      <c r="C179" s="33">
        <v>5576.4</v>
      </c>
      <c r="D179" s="50">
        <v>693.9</v>
      </c>
      <c r="E179" s="49">
        <v>528.29999999999995</v>
      </c>
      <c r="F179" s="40">
        <v>76</v>
      </c>
      <c r="G179" s="49">
        <v>1681.5830000000001</v>
      </c>
      <c r="H179" s="49">
        <v>88.331999999999994</v>
      </c>
      <c r="I179" s="49">
        <v>228.86699999999999</v>
      </c>
      <c r="J179" s="49"/>
      <c r="K179" s="49"/>
      <c r="L179" s="49">
        <f>444.12+415.727+1559.639</f>
        <v>2419.4859999999999</v>
      </c>
      <c r="M179" s="49"/>
      <c r="N179" s="49"/>
      <c r="P179" s="33">
        <f t="shared" si="6"/>
        <v>15770.705999999998</v>
      </c>
      <c r="Q179" s="11"/>
    </row>
    <row r="180" spans="1:17" x14ac:dyDescent="0.25">
      <c r="A180" s="78">
        <v>41791</v>
      </c>
      <c r="B180" s="31">
        <v>3921.732</v>
      </c>
      <c r="C180" s="33">
        <v>4945.92</v>
      </c>
      <c r="D180" s="50">
        <v>656.9</v>
      </c>
      <c r="E180" s="49">
        <v>347.27</v>
      </c>
      <c r="F180" s="40">
        <v>64.8</v>
      </c>
      <c r="G180" s="49">
        <v>1760.47</v>
      </c>
      <c r="H180" s="49">
        <v>123.3</v>
      </c>
      <c r="I180" s="49">
        <v>254.77500000000001</v>
      </c>
      <c r="J180" s="49"/>
      <c r="K180" s="49"/>
      <c r="L180" s="49">
        <f>70.94+464.73+1559.999</f>
        <v>2095.6689999999999</v>
      </c>
      <c r="M180" s="49"/>
      <c r="N180" s="49"/>
      <c r="P180" s="33">
        <f t="shared" si="6"/>
        <v>14170.835999999998</v>
      </c>
      <c r="Q180" s="11"/>
    </row>
    <row r="181" spans="1:17" x14ac:dyDescent="0.25">
      <c r="A181" s="78">
        <v>41821</v>
      </c>
      <c r="B181" s="33">
        <v>3120.3359999999998</v>
      </c>
      <c r="C181" s="32">
        <v>4210.1000000000004</v>
      </c>
      <c r="D181" s="50">
        <v>574.1</v>
      </c>
      <c r="E181" s="49">
        <v>335.83</v>
      </c>
      <c r="F181" s="40">
        <v>81.33</v>
      </c>
      <c r="G181" s="49">
        <v>1912.8389999999999</v>
      </c>
      <c r="H181" s="49">
        <v>122.4</v>
      </c>
      <c r="I181" s="49">
        <v>161.28299999999999</v>
      </c>
      <c r="J181" s="49"/>
      <c r="K181" s="49"/>
      <c r="L181" s="49">
        <f>125.94+511.129+1559.998</f>
        <v>2197.067</v>
      </c>
      <c r="M181" s="49"/>
      <c r="N181" s="49"/>
      <c r="P181" s="33">
        <f t="shared" si="6"/>
        <v>12715.285</v>
      </c>
      <c r="Q181" s="11"/>
    </row>
    <row r="182" spans="1:17" x14ac:dyDescent="0.25">
      <c r="A182" s="78">
        <v>41852</v>
      </c>
      <c r="B182" s="33">
        <v>3048.57</v>
      </c>
      <c r="C182" s="32">
        <v>3279.5</v>
      </c>
      <c r="D182" s="50">
        <v>166.6</v>
      </c>
      <c r="E182" s="49">
        <v>287.33</v>
      </c>
      <c r="F182" s="40">
        <v>0</v>
      </c>
      <c r="G182" s="49">
        <v>1783.259</v>
      </c>
      <c r="H182" s="49">
        <v>104.676</v>
      </c>
      <c r="I182" s="49">
        <v>120.7</v>
      </c>
      <c r="J182" s="49"/>
      <c r="K182" s="49"/>
      <c r="L182" s="49">
        <f>57.1+355.51+3153.757</f>
        <v>3566.3670000000002</v>
      </c>
      <c r="M182" s="49"/>
      <c r="N182" s="49"/>
      <c r="P182" s="33">
        <f t="shared" si="6"/>
        <v>12357.002</v>
      </c>
      <c r="Q182" s="11"/>
    </row>
    <row r="183" spans="1:17" x14ac:dyDescent="0.25">
      <c r="A183" s="78">
        <v>41883</v>
      </c>
      <c r="B183" s="33">
        <v>3387.72</v>
      </c>
      <c r="C183" s="32">
        <v>3072.4</v>
      </c>
      <c r="D183" s="50">
        <v>602.6</v>
      </c>
      <c r="E183" s="49">
        <v>351.97</v>
      </c>
      <c r="F183" s="40">
        <v>70.635000000000005</v>
      </c>
      <c r="G183" s="49">
        <v>1703.761</v>
      </c>
      <c r="H183" s="49">
        <v>108.12</v>
      </c>
      <c r="I183" s="49">
        <v>257.8</v>
      </c>
      <c r="J183" s="49"/>
      <c r="K183" s="49"/>
      <c r="L183" s="49">
        <f>19.91+13.535+3219.679</f>
        <v>3253.1240000000003</v>
      </c>
      <c r="M183" s="49"/>
      <c r="N183" s="49"/>
      <c r="P183" s="33">
        <f t="shared" si="6"/>
        <v>12808.130000000001</v>
      </c>
      <c r="Q183" s="11"/>
    </row>
    <row r="184" spans="1:17" x14ac:dyDescent="0.25">
      <c r="A184" s="78">
        <v>41913</v>
      </c>
      <c r="B184" s="33">
        <v>4230.1139999999996</v>
      </c>
      <c r="C184" s="32">
        <v>3243.9</v>
      </c>
      <c r="D184" s="50">
        <v>762.4</v>
      </c>
      <c r="E184" s="49">
        <v>507.39</v>
      </c>
      <c r="F184" s="40">
        <v>93.825000000000003</v>
      </c>
      <c r="G184" s="49">
        <v>1356.635</v>
      </c>
      <c r="H184" s="49">
        <v>78.816000000000003</v>
      </c>
      <c r="I184" s="49">
        <v>264.8</v>
      </c>
      <c r="J184" s="49"/>
      <c r="K184" s="49"/>
      <c r="L184" s="49">
        <f>293.733+3219.231</f>
        <v>3512.9640000000004</v>
      </c>
      <c r="M184" s="49"/>
      <c r="N184" s="49"/>
      <c r="P184" s="33">
        <f t="shared" si="6"/>
        <v>14050.843999999999</v>
      </c>
      <c r="Q184" s="11"/>
    </row>
    <row r="185" spans="1:17" x14ac:dyDescent="0.25">
      <c r="A185" s="78">
        <v>41944</v>
      </c>
      <c r="B185" s="33">
        <v>3983.1959999999999</v>
      </c>
      <c r="C185" s="32">
        <v>3450.6</v>
      </c>
      <c r="D185" s="50">
        <v>665</v>
      </c>
      <c r="E185" s="49">
        <v>512.74</v>
      </c>
      <c r="F185" s="40">
        <v>53.234999999999999</v>
      </c>
      <c r="G185" s="49">
        <v>1051.644</v>
      </c>
      <c r="H185" s="49">
        <v>85.283000000000001</v>
      </c>
      <c r="I185" s="49">
        <v>268</v>
      </c>
      <c r="J185" s="49"/>
      <c r="K185" s="49"/>
      <c r="L185" s="49">
        <f>525.542+3138.307</f>
        <v>3663.8489999999997</v>
      </c>
      <c r="M185" s="49"/>
      <c r="N185" s="49"/>
      <c r="P185" s="33">
        <f t="shared" si="6"/>
        <v>13733.547</v>
      </c>
      <c r="Q185" s="11"/>
    </row>
    <row r="186" spans="1:17" x14ac:dyDescent="0.25">
      <c r="A186" s="78">
        <v>41974</v>
      </c>
      <c r="B186" s="33">
        <v>4955.5590000000002</v>
      </c>
      <c r="C186" s="32">
        <v>3907</v>
      </c>
      <c r="D186" s="50">
        <v>831.8</v>
      </c>
      <c r="E186" s="49">
        <v>562.29</v>
      </c>
      <c r="F186" s="40">
        <v>127.95</v>
      </c>
      <c r="G186" s="49">
        <v>973.68299999999999</v>
      </c>
      <c r="H186" s="49">
        <v>95.22</v>
      </c>
      <c r="I186" s="49">
        <v>168.6</v>
      </c>
      <c r="J186" s="49"/>
      <c r="K186" s="49"/>
      <c r="L186" s="49">
        <f>470.145+3214.033</f>
        <v>3684.1779999999999</v>
      </c>
      <c r="M186" s="49"/>
      <c r="N186" s="49"/>
      <c r="P186" s="33">
        <f t="shared" si="6"/>
        <v>15306.280000000002</v>
      </c>
      <c r="Q186" s="11"/>
    </row>
    <row r="187" spans="1:17" x14ac:dyDescent="0.25">
      <c r="A187" s="78">
        <v>42005</v>
      </c>
      <c r="B187" s="33">
        <v>5146.6170000000002</v>
      </c>
      <c r="C187" s="32">
        <v>4863.3</v>
      </c>
      <c r="D187" s="50">
        <v>883.9</v>
      </c>
      <c r="E187" s="49">
        <v>667.9</v>
      </c>
      <c r="F187" s="40">
        <v>101.01</v>
      </c>
      <c r="G187" s="49">
        <v>807.54300000000001</v>
      </c>
      <c r="H187" s="49">
        <v>86.316000000000003</v>
      </c>
      <c r="I187" s="49">
        <v>159</v>
      </c>
      <c r="J187" s="49"/>
      <c r="K187" s="49"/>
      <c r="L187" s="49">
        <f>248.612+1559.998</f>
        <v>1808.6100000000001</v>
      </c>
      <c r="M187" s="49"/>
      <c r="N187" s="49"/>
      <c r="P187" s="33">
        <f t="shared" si="6"/>
        <v>14524.196000000002</v>
      </c>
      <c r="Q187" s="11"/>
    </row>
    <row r="188" spans="1:17" x14ac:dyDescent="0.25">
      <c r="A188" s="78">
        <v>42036</v>
      </c>
      <c r="B188" s="33">
        <v>4683.7349999999997</v>
      </c>
      <c r="C188" s="32">
        <v>5216.3999999999996</v>
      </c>
      <c r="D188" s="50">
        <v>791.7</v>
      </c>
      <c r="E188" s="49">
        <v>591.36</v>
      </c>
      <c r="F188" s="40">
        <v>88.995000000000005</v>
      </c>
      <c r="G188" s="49">
        <v>327.67700000000002</v>
      </c>
      <c r="H188" s="49">
        <v>81.540000000000006</v>
      </c>
      <c r="I188" s="49">
        <v>204.4</v>
      </c>
      <c r="J188" s="49"/>
      <c r="K188" s="49"/>
      <c r="L188" s="49">
        <f>220.515+1559.999</f>
        <v>1780.5140000000001</v>
      </c>
      <c r="M188" s="49"/>
      <c r="N188" s="49"/>
      <c r="P188" s="33">
        <f t="shared" si="6"/>
        <v>13766.321</v>
      </c>
      <c r="Q188" s="11"/>
    </row>
    <row r="189" spans="1:17" x14ac:dyDescent="0.25">
      <c r="A189" s="78">
        <v>42064</v>
      </c>
      <c r="B189" s="33">
        <v>4666.9350000000004</v>
      </c>
      <c r="C189" s="32">
        <v>5970</v>
      </c>
      <c r="D189" s="50">
        <v>863.8</v>
      </c>
      <c r="E189" s="49">
        <v>653.55999999999995</v>
      </c>
      <c r="F189" s="40">
        <v>90</v>
      </c>
      <c r="G189" s="49">
        <v>852.447</v>
      </c>
      <c r="H189" s="49">
        <v>82.067999999999998</v>
      </c>
      <c r="I189" s="49">
        <v>192.1</v>
      </c>
      <c r="J189" s="49"/>
      <c r="K189" s="49"/>
      <c r="L189" s="49">
        <f>83.61+1559.989</f>
        <v>1643.5989999999999</v>
      </c>
      <c r="M189" s="49"/>
      <c r="N189" s="49"/>
      <c r="P189" s="33">
        <f t="shared" si="6"/>
        <v>15014.509</v>
      </c>
      <c r="Q189" s="11"/>
    </row>
    <row r="190" spans="1:17" x14ac:dyDescent="0.25">
      <c r="A190" s="78">
        <v>42095</v>
      </c>
      <c r="B190" s="33">
        <v>5841.9269999999997</v>
      </c>
      <c r="C190" s="32">
        <v>4874.2</v>
      </c>
      <c r="D190" s="50">
        <v>893.7</v>
      </c>
      <c r="E190" s="49">
        <v>671.55</v>
      </c>
      <c r="F190" s="40">
        <v>167.7</v>
      </c>
      <c r="G190" s="49">
        <v>1274.691</v>
      </c>
      <c r="H190" s="49">
        <v>53.975999999999999</v>
      </c>
      <c r="I190" s="49">
        <v>147.4</v>
      </c>
      <c r="J190" s="49"/>
      <c r="K190" s="49"/>
      <c r="L190" s="49">
        <v>1489.2840000000001</v>
      </c>
      <c r="M190" s="49"/>
      <c r="N190" s="49"/>
      <c r="P190" s="33">
        <f t="shared" si="6"/>
        <v>15414.428000000002</v>
      </c>
      <c r="Q190" s="11"/>
    </row>
    <row r="191" spans="1:17" x14ac:dyDescent="0.25">
      <c r="A191" s="78">
        <v>42125</v>
      </c>
      <c r="B191" s="33">
        <v>5612.652</v>
      </c>
      <c r="C191" s="32">
        <v>3596.9</v>
      </c>
      <c r="D191" s="50">
        <v>883.2</v>
      </c>
      <c r="E191" s="49">
        <v>697.58</v>
      </c>
      <c r="F191" s="40">
        <v>239.55</v>
      </c>
      <c r="G191" s="49">
        <v>1494.0740000000001</v>
      </c>
      <c r="H191" s="49">
        <v>0</v>
      </c>
      <c r="I191" s="49">
        <v>306</v>
      </c>
      <c r="J191" s="49"/>
      <c r="K191" s="49"/>
      <c r="L191" s="49">
        <v>1536.0229999999999</v>
      </c>
      <c r="M191" s="49"/>
      <c r="N191" s="49"/>
      <c r="P191" s="33">
        <f t="shared" si="6"/>
        <v>14365.978999999999</v>
      </c>
      <c r="Q191" s="11"/>
    </row>
    <row r="192" spans="1:17" x14ac:dyDescent="0.25">
      <c r="A192" s="78">
        <v>42156</v>
      </c>
      <c r="B192" s="33">
        <v>4581.2160000000003</v>
      </c>
      <c r="C192" s="32">
        <v>4789</v>
      </c>
      <c r="D192" s="50">
        <v>660.58299999999997</v>
      </c>
      <c r="E192" s="49">
        <v>620.57000000000005</v>
      </c>
      <c r="F192" s="40">
        <v>120.96</v>
      </c>
      <c r="G192" s="49">
        <v>1202.6790000000001</v>
      </c>
      <c r="H192" s="49">
        <v>0</v>
      </c>
      <c r="I192" s="49">
        <v>265.5</v>
      </c>
      <c r="J192" s="49"/>
      <c r="K192" s="49"/>
      <c r="L192" s="49">
        <v>1559.99</v>
      </c>
      <c r="M192" s="49"/>
      <c r="N192" s="49"/>
      <c r="P192" s="33">
        <f t="shared" ref="P192:P223" si="7">SUM(B192:L192)</f>
        <v>13800.498</v>
      </c>
      <c r="Q192" s="11"/>
    </row>
    <row r="193" spans="1:17" x14ac:dyDescent="0.25">
      <c r="A193" s="78">
        <v>42186</v>
      </c>
      <c r="B193" s="33">
        <v>3935.8620000000001</v>
      </c>
      <c r="C193" s="32">
        <v>6221.1</v>
      </c>
      <c r="D193" s="50">
        <v>512.70000000000005</v>
      </c>
      <c r="E193" s="49">
        <v>407.08</v>
      </c>
      <c r="F193" s="40">
        <v>90.825000000000003</v>
      </c>
      <c r="G193" s="49">
        <v>1219.963</v>
      </c>
      <c r="H193" s="49">
        <v>0</v>
      </c>
      <c r="I193" s="49">
        <v>262.7</v>
      </c>
      <c r="J193" s="49"/>
      <c r="K193" s="49"/>
      <c r="L193" s="49">
        <f>16.187+1559.994</f>
        <v>1576.1809999999998</v>
      </c>
      <c r="M193" s="49"/>
      <c r="N193" s="49"/>
      <c r="P193" s="33">
        <f t="shared" si="7"/>
        <v>14226.411000000002</v>
      </c>
      <c r="Q193" s="11"/>
    </row>
    <row r="194" spans="1:17" x14ac:dyDescent="0.25">
      <c r="A194" s="78">
        <v>42217</v>
      </c>
      <c r="B194" s="33">
        <v>3935.8719999999998</v>
      </c>
      <c r="C194" s="32">
        <v>5299.8</v>
      </c>
      <c r="D194" s="50">
        <v>385.3</v>
      </c>
      <c r="E194" s="49">
        <v>333.58</v>
      </c>
      <c r="F194" s="40">
        <v>61.95</v>
      </c>
      <c r="G194" s="49">
        <v>979.01</v>
      </c>
      <c r="H194" s="49">
        <v>0</v>
      </c>
      <c r="I194" s="49">
        <v>234</v>
      </c>
      <c r="J194" s="49"/>
      <c r="K194" s="49"/>
      <c r="L194" s="49">
        <f>195.137+2484.732</f>
        <v>2679.8690000000001</v>
      </c>
      <c r="M194" s="49"/>
      <c r="N194" s="49"/>
      <c r="P194" s="33">
        <f t="shared" si="7"/>
        <v>13909.381000000001</v>
      </c>
      <c r="Q194" s="11"/>
    </row>
    <row r="195" spans="1:17" x14ac:dyDescent="0.25">
      <c r="A195" s="78">
        <v>42248</v>
      </c>
      <c r="B195" s="33">
        <v>2997.5198</v>
      </c>
      <c r="C195" s="32">
        <v>3032.2</v>
      </c>
      <c r="D195" s="50">
        <v>463.6</v>
      </c>
      <c r="E195" s="49">
        <v>299.08</v>
      </c>
      <c r="F195" s="40">
        <v>31.65</v>
      </c>
      <c r="G195" s="49">
        <v>480.358</v>
      </c>
      <c r="H195" s="49">
        <v>0</v>
      </c>
      <c r="I195" s="49">
        <v>213.4</v>
      </c>
      <c r="J195" s="49"/>
      <c r="K195" s="49"/>
      <c r="L195" s="49">
        <f>797.788+2988.042</f>
        <v>3785.83</v>
      </c>
      <c r="M195" s="49"/>
      <c r="N195" s="49"/>
      <c r="P195" s="33">
        <f t="shared" si="7"/>
        <v>11303.6378</v>
      </c>
      <c r="Q195" s="11"/>
    </row>
    <row r="196" spans="1:17" x14ac:dyDescent="0.25">
      <c r="A196" s="78">
        <v>42278</v>
      </c>
      <c r="B196" s="33">
        <v>2889.8</v>
      </c>
      <c r="C196" s="32">
        <v>3919.5</v>
      </c>
      <c r="D196" s="50">
        <v>480.6</v>
      </c>
      <c r="E196" s="49">
        <v>503.33</v>
      </c>
      <c r="F196" s="40">
        <v>36.03</v>
      </c>
      <c r="G196" s="49">
        <v>494.58</v>
      </c>
      <c r="H196" s="49">
        <v>0</v>
      </c>
      <c r="I196" s="49">
        <v>252.3</v>
      </c>
      <c r="J196" s="49"/>
      <c r="K196" s="49"/>
      <c r="L196" s="49">
        <f>755.333+3353.39</f>
        <v>4108.723</v>
      </c>
      <c r="M196" s="49"/>
      <c r="N196" s="49"/>
      <c r="P196" s="33">
        <f t="shared" si="7"/>
        <v>12684.862999999999</v>
      </c>
      <c r="Q196" s="11"/>
    </row>
    <row r="197" spans="1:17" x14ac:dyDescent="0.25">
      <c r="A197" s="78">
        <v>42309</v>
      </c>
      <c r="B197" s="33">
        <v>4932.3119999999999</v>
      </c>
      <c r="C197" s="32">
        <v>2216.1</v>
      </c>
      <c r="D197" s="50">
        <v>631.4</v>
      </c>
      <c r="E197" s="49">
        <v>636.20000000000005</v>
      </c>
      <c r="F197" s="40">
        <v>93.405000000000001</v>
      </c>
      <c r="G197" s="49">
        <v>672.20399999999995</v>
      </c>
      <c r="H197" s="49">
        <v>0</v>
      </c>
      <c r="I197" s="49">
        <v>237.5</v>
      </c>
      <c r="J197" s="49"/>
      <c r="K197" s="49"/>
      <c r="L197" s="49">
        <f>509.282+3078.256</f>
        <v>3587.538</v>
      </c>
      <c r="M197" s="49"/>
      <c r="N197" s="49"/>
      <c r="P197" s="33">
        <f t="shared" si="7"/>
        <v>13006.659000000001</v>
      </c>
      <c r="Q197" s="11"/>
    </row>
    <row r="198" spans="1:17" x14ac:dyDescent="0.25">
      <c r="A198" s="78">
        <v>42339</v>
      </c>
      <c r="B198" s="33">
        <v>5122.0259999999998</v>
      </c>
      <c r="C198" s="33">
        <v>3226.4</v>
      </c>
      <c r="D198" s="50">
        <v>784.2</v>
      </c>
      <c r="E198" s="49">
        <v>683.61</v>
      </c>
      <c r="F198" s="40">
        <v>188.34</v>
      </c>
      <c r="G198" s="49">
        <v>563.32799999999997</v>
      </c>
      <c r="H198" s="49">
        <v>0</v>
      </c>
      <c r="I198" s="49">
        <v>257.5</v>
      </c>
      <c r="J198" s="49"/>
      <c r="K198" s="49"/>
      <c r="L198" s="49">
        <f>128.251+3014.046</f>
        <v>3142.297</v>
      </c>
      <c r="M198" s="49"/>
      <c r="N198" s="49"/>
      <c r="P198" s="33">
        <f t="shared" si="7"/>
        <v>13967.701000000001</v>
      </c>
      <c r="Q198" s="11"/>
    </row>
    <row r="199" spans="1:17" x14ac:dyDescent="0.25">
      <c r="A199" s="78">
        <v>42370</v>
      </c>
      <c r="B199" s="31">
        <v>5158.8599999999997</v>
      </c>
      <c r="C199" s="33">
        <v>3656.4</v>
      </c>
      <c r="D199" s="50">
        <v>640.20000000000005</v>
      </c>
      <c r="E199" s="49">
        <v>636.52</v>
      </c>
      <c r="F199" s="40">
        <v>81.63</v>
      </c>
      <c r="G199" s="49">
        <v>925.28</v>
      </c>
      <c r="H199" s="49">
        <v>0</v>
      </c>
      <c r="I199" s="49">
        <v>200.6</v>
      </c>
      <c r="J199" s="49"/>
      <c r="K199" s="49"/>
      <c r="L199" s="49">
        <f>72.348+1700.348</f>
        <v>1772.6959999999999</v>
      </c>
      <c r="M199" s="49"/>
      <c r="N199" s="49"/>
      <c r="P199" s="33">
        <f t="shared" si="7"/>
        <v>13072.186000000002</v>
      </c>
      <c r="Q199" s="11"/>
    </row>
    <row r="200" spans="1:17" x14ac:dyDescent="0.25">
      <c r="A200" s="78">
        <v>42401</v>
      </c>
      <c r="B200" s="31">
        <v>4699.8</v>
      </c>
      <c r="C200" s="33">
        <v>3594.5</v>
      </c>
      <c r="D200" s="50">
        <v>0</v>
      </c>
      <c r="E200" s="49">
        <v>672.87</v>
      </c>
      <c r="F200" s="40">
        <v>150.99</v>
      </c>
      <c r="G200" s="49">
        <v>828.16700000000003</v>
      </c>
      <c r="H200" s="49">
        <v>0</v>
      </c>
      <c r="I200" s="49">
        <v>196.3</v>
      </c>
      <c r="J200" s="49"/>
      <c r="K200" s="49"/>
      <c r="L200" s="49">
        <f>34.768+1559.897</f>
        <v>1594.665</v>
      </c>
      <c r="M200" s="49"/>
      <c r="N200" s="49"/>
      <c r="P200" s="33">
        <f t="shared" si="7"/>
        <v>11737.291999999998</v>
      </c>
      <c r="Q200" s="11"/>
    </row>
    <row r="201" spans="1:17" x14ac:dyDescent="0.25">
      <c r="A201" s="78">
        <v>42430</v>
      </c>
      <c r="B201" s="31">
        <v>5232.6329999999998</v>
      </c>
      <c r="C201" s="33">
        <v>5465.6</v>
      </c>
      <c r="D201" s="50">
        <v>0</v>
      </c>
      <c r="E201" s="49">
        <v>724.5</v>
      </c>
      <c r="F201" s="40">
        <v>131.66999999999999</v>
      </c>
      <c r="G201" s="49">
        <v>642.529</v>
      </c>
      <c r="H201" s="49">
        <v>0</v>
      </c>
      <c r="I201" s="49">
        <v>255.8</v>
      </c>
      <c r="J201" s="49"/>
      <c r="K201" s="49"/>
      <c r="L201" s="49">
        <f>132.654+1273.849</f>
        <v>1406.5029999999999</v>
      </c>
      <c r="M201" s="49"/>
      <c r="N201" s="49"/>
      <c r="P201" s="33">
        <f t="shared" si="7"/>
        <v>13859.235000000001</v>
      </c>
      <c r="Q201" s="11"/>
    </row>
    <row r="202" spans="1:17" x14ac:dyDescent="0.25">
      <c r="A202" s="78">
        <v>42461</v>
      </c>
      <c r="B202" s="31">
        <v>5168.4570000000003</v>
      </c>
      <c r="C202" s="33">
        <v>7835.9</v>
      </c>
      <c r="D202" s="50">
        <v>359.2</v>
      </c>
      <c r="E202" s="49">
        <v>457.48</v>
      </c>
      <c r="F202" s="40">
        <v>131.80500000000001</v>
      </c>
      <c r="G202" s="49">
        <v>741.875</v>
      </c>
      <c r="H202" s="49">
        <v>0</v>
      </c>
      <c r="I202" s="49">
        <v>248.4</v>
      </c>
      <c r="J202" s="49"/>
      <c r="K202" s="49"/>
      <c r="L202" s="49">
        <f>97.977+366.688</f>
        <v>464.66499999999996</v>
      </c>
      <c r="M202" s="49"/>
      <c r="N202" s="49"/>
      <c r="P202" s="33">
        <f t="shared" si="7"/>
        <v>15407.781999999999</v>
      </c>
      <c r="Q202" s="11"/>
    </row>
    <row r="203" spans="1:17" x14ac:dyDescent="0.25">
      <c r="A203" s="78">
        <v>42491</v>
      </c>
      <c r="B203" s="31">
        <v>5100.1229999999996</v>
      </c>
      <c r="C203" s="33">
        <v>7499.6</v>
      </c>
      <c r="D203" s="50">
        <v>630.20000000000005</v>
      </c>
      <c r="E203" s="49">
        <v>597.46</v>
      </c>
      <c r="F203" s="40">
        <v>132.495</v>
      </c>
      <c r="G203" s="49">
        <v>606.51103999999998</v>
      </c>
      <c r="H203" s="49">
        <v>0</v>
      </c>
      <c r="I203" s="49">
        <v>308.8</v>
      </c>
      <c r="J203" s="49"/>
      <c r="K203" s="49"/>
      <c r="L203" s="49">
        <f>64.292+620.182</f>
        <v>684.47400000000005</v>
      </c>
      <c r="M203" s="49"/>
      <c r="N203" s="49"/>
      <c r="P203" s="33">
        <f t="shared" si="7"/>
        <v>15559.663040000001</v>
      </c>
      <c r="Q203" s="11"/>
    </row>
    <row r="204" spans="1:17" x14ac:dyDescent="0.25">
      <c r="A204" s="78">
        <v>42522</v>
      </c>
      <c r="B204" s="31">
        <v>3489.84</v>
      </c>
      <c r="C204" s="33">
        <v>6311.2</v>
      </c>
      <c r="D204" s="50">
        <v>613.29999999999995</v>
      </c>
      <c r="E204" s="49">
        <v>328.5</v>
      </c>
      <c r="F204" s="40">
        <v>75.540000000000006</v>
      </c>
      <c r="G204" s="49">
        <v>828.24540000000002</v>
      </c>
      <c r="H204" s="49">
        <v>9.3360000000000003</v>
      </c>
      <c r="I204" s="49">
        <v>276.39999999999998</v>
      </c>
      <c r="J204" s="49"/>
      <c r="K204" s="49"/>
      <c r="L204" s="49">
        <f>77.88+1452.552</f>
        <v>1530.4319999999998</v>
      </c>
      <c r="M204" s="49"/>
      <c r="N204" s="49"/>
      <c r="P204" s="33">
        <f t="shared" si="7"/>
        <v>13462.793399999999</v>
      </c>
      <c r="Q204" s="11"/>
    </row>
    <row r="205" spans="1:17" x14ac:dyDescent="0.25">
      <c r="A205" s="78">
        <v>42552</v>
      </c>
      <c r="B205" s="31">
        <v>3154.1759999999999</v>
      </c>
      <c r="C205" s="33">
        <v>7393.2</v>
      </c>
      <c r="D205" s="50">
        <v>692</v>
      </c>
      <c r="E205" s="49">
        <v>363.5</v>
      </c>
      <c r="F205" s="40">
        <v>75.194999999999993</v>
      </c>
      <c r="G205" s="49">
        <v>712.68543999999997</v>
      </c>
      <c r="H205" s="49">
        <v>0</v>
      </c>
      <c r="I205" s="49">
        <v>287.89999999999998</v>
      </c>
      <c r="J205" s="49"/>
      <c r="K205" s="49"/>
      <c r="L205" s="49">
        <f>165.989+1559.859</f>
        <v>1725.848</v>
      </c>
      <c r="M205" s="49"/>
      <c r="N205" s="49"/>
      <c r="P205" s="33">
        <f t="shared" si="7"/>
        <v>14404.504439999999</v>
      </c>
      <c r="Q205" s="11"/>
    </row>
    <row r="206" spans="1:17" x14ac:dyDescent="0.25">
      <c r="A206" s="78">
        <v>42583</v>
      </c>
      <c r="B206" s="31">
        <v>2516.6190000000001</v>
      </c>
      <c r="C206" s="33">
        <v>6810.4</v>
      </c>
      <c r="D206" s="50">
        <v>595.70000000000005</v>
      </c>
      <c r="E206" s="49">
        <v>332.94</v>
      </c>
      <c r="F206" s="40">
        <v>41.895000000000003</v>
      </c>
      <c r="G206" s="49">
        <v>1168.2102400000001</v>
      </c>
      <c r="H206" s="49">
        <v>0</v>
      </c>
      <c r="I206" s="49">
        <v>267</v>
      </c>
      <c r="J206" s="49"/>
      <c r="K206" s="49"/>
      <c r="L206" s="49">
        <f>160.385+2242.066</f>
        <v>2402.451</v>
      </c>
      <c r="M206" s="49"/>
      <c r="N206" s="49"/>
      <c r="P206" s="33">
        <f t="shared" si="7"/>
        <v>14135.215240000001</v>
      </c>
      <c r="Q206" s="11"/>
    </row>
    <row r="207" spans="1:17" x14ac:dyDescent="0.25">
      <c r="A207" s="78">
        <v>42614</v>
      </c>
      <c r="B207" s="31">
        <v>2500.1129999999998</v>
      </c>
      <c r="C207" s="33">
        <v>5881.9</v>
      </c>
      <c r="D207" s="50">
        <v>347.3</v>
      </c>
      <c r="E207" s="49">
        <v>299.36</v>
      </c>
      <c r="F207" s="40">
        <v>0</v>
      </c>
      <c r="G207" s="49">
        <v>1115.28396</v>
      </c>
      <c r="H207" s="49">
        <v>0</v>
      </c>
      <c r="I207" s="49">
        <v>116.845</v>
      </c>
      <c r="J207" s="49"/>
      <c r="K207" s="49"/>
      <c r="L207" s="49">
        <f>144.385+2790.069</f>
        <v>2934.4539999999997</v>
      </c>
      <c r="M207" s="49"/>
      <c r="N207" s="49"/>
      <c r="P207" s="33">
        <f t="shared" si="7"/>
        <v>13195.255959999999</v>
      </c>
      <c r="Q207" s="11"/>
    </row>
    <row r="208" spans="1:17" x14ac:dyDescent="0.25">
      <c r="A208" s="78">
        <v>42644</v>
      </c>
      <c r="B208" s="31">
        <v>2965.683</v>
      </c>
      <c r="C208" s="33">
        <v>5717</v>
      </c>
      <c r="D208" s="50">
        <v>430.7</v>
      </c>
      <c r="E208" s="49">
        <v>401.39</v>
      </c>
      <c r="F208" s="40">
        <v>71.025000000000006</v>
      </c>
      <c r="G208" s="49">
        <v>1190.35472</v>
      </c>
      <c r="H208" s="49">
        <v>0</v>
      </c>
      <c r="I208" s="49">
        <v>225.8</v>
      </c>
      <c r="J208" s="49"/>
      <c r="K208" s="49"/>
      <c r="L208" s="49">
        <f>269.801+2856.764</f>
        <v>3126.5650000000001</v>
      </c>
      <c r="M208" s="49"/>
      <c r="N208" s="49"/>
      <c r="P208" s="33">
        <f t="shared" si="7"/>
        <v>14128.51772</v>
      </c>
      <c r="Q208" s="11"/>
    </row>
    <row r="209" spans="1:17" x14ac:dyDescent="0.25">
      <c r="A209" s="78">
        <v>42675</v>
      </c>
      <c r="B209" s="31">
        <v>3020.1990000000001</v>
      </c>
      <c r="C209" s="33">
        <v>5333.8</v>
      </c>
      <c r="D209" s="50">
        <v>539.29999999999995</v>
      </c>
      <c r="E209" s="49">
        <v>448.16</v>
      </c>
      <c r="F209" s="40">
        <v>50.94</v>
      </c>
      <c r="G209" s="49">
        <v>1157.14788</v>
      </c>
      <c r="H209" s="49">
        <v>12.984</v>
      </c>
      <c r="I209" s="49">
        <v>252.6</v>
      </c>
      <c r="J209" s="49"/>
      <c r="K209" s="49"/>
      <c r="L209" s="49">
        <f>270.702+3040.159</f>
        <v>3310.8609999999999</v>
      </c>
      <c r="M209" s="49"/>
      <c r="N209" s="49"/>
      <c r="P209" s="33">
        <f t="shared" si="7"/>
        <v>14125.991880000001</v>
      </c>
      <c r="Q209" s="11"/>
    </row>
    <row r="210" spans="1:17" x14ac:dyDescent="0.25">
      <c r="A210" s="78">
        <v>42705</v>
      </c>
      <c r="B210" s="31">
        <v>3573.6959999999999</v>
      </c>
      <c r="C210" s="33">
        <v>5027.6000000000004</v>
      </c>
      <c r="D210" s="50">
        <v>578.1</v>
      </c>
      <c r="E210" s="49">
        <v>418.73</v>
      </c>
      <c r="F210" s="40">
        <v>63.674999999999997</v>
      </c>
      <c r="G210" s="49">
        <v>1234.9893999999999</v>
      </c>
      <c r="H210" s="49">
        <v>18.815999999999999</v>
      </c>
      <c r="I210" s="49">
        <v>260</v>
      </c>
      <c r="J210" s="49"/>
      <c r="K210" s="49"/>
      <c r="L210" s="49">
        <f>325.269+2806.916</f>
        <v>3132.1850000000004</v>
      </c>
      <c r="M210" s="49"/>
      <c r="N210" s="49"/>
      <c r="P210" s="33">
        <f t="shared" si="7"/>
        <v>14307.791400000002</v>
      </c>
      <c r="Q210" s="11"/>
    </row>
    <row r="211" spans="1:17" x14ac:dyDescent="0.25">
      <c r="A211" s="78">
        <v>42736</v>
      </c>
      <c r="B211" s="31">
        <v>4270.4129999999996</v>
      </c>
      <c r="C211" s="33">
        <v>3273</v>
      </c>
      <c r="D211" s="50">
        <v>586.07000000000005</v>
      </c>
      <c r="E211" s="49">
        <v>545.38</v>
      </c>
      <c r="F211" s="40">
        <v>35.414999999999999</v>
      </c>
      <c r="G211" s="49">
        <v>1296.4515200000001</v>
      </c>
      <c r="H211" s="49">
        <v>0</v>
      </c>
      <c r="I211" s="49">
        <v>260.89999999999998</v>
      </c>
      <c r="J211" s="49"/>
      <c r="K211" s="49"/>
      <c r="L211" s="49">
        <f>336.913+2965.146</f>
        <v>3302.0590000000002</v>
      </c>
      <c r="M211" s="49"/>
      <c r="N211" s="49"/>
      <c r="P211" s="33">
        <f t="shared" si="7"/>
        <v>13569.68852</v>
      </c>
      <c r="Q211" s="11"/>
    </row>
    <row r="212" spans="1:17" x14ac:dyDescent="0.25">
      <c r="A212" s="78">
        <v>42767</v>
      </c>
      <c r="B212" s="31">
        <v>3695.0549999999998</v>
      </c>
      <c r="C212" s="33">
        <v>3033.22</v>
      </c>
      <c r="D212" s="50">
        <v>534.23</v>
      </c>
      <c r="E212" s="49">
        <v>461.98</v>
      </c>
      <c r="F212" s="40">
        <v>35.19</v>
      </c>
      <c r="G212" s="49">
        <v>1333.3377700000001</v>
      </c>
      <c r="H212" s="49">
        <v>0</v>
      </c>
      <c r="I212" s="49">
        <v>248.8</v>
      </c>
      <c r="J212" s="49"/>
      <c r="K212" s="49"/>
      <c r="L212" s="49">
        <f>324.647+2831.452</f>
        <v>3156.0990000000002</v>
      </c>
      <c r="M212" s="49"/>
      <c r="N212" s="49"/>
      <c r="P212" s="33">
        <f t="shared" si="7"/>
        <v>12497.911769999997</v>
      </c>
      <c r="Q212" s="11"/>
    </row>
    <row r="213" spans="1:17" x14ac:dyDescent="0.25">
      <c r="A213" s="78">
        <v>42795</v>
      </c>
      <c r="B213" s="31">
        <v>4778.991</v>
      </c>
      <c r="C213" s="33">
        <v>3443</v>
      </c>
      <c r="D213" s="50">
        <v>423.6</v>
      </c>
      <c r="E213" s="49">
        <v>634.86</v>
      </c>
      <c r="F213" s="40">
        <v>178.86</v>
      </c>
      <c r="G213" s="49">
        <v>1036.9706000000001</v>
      </c>
      <c r="H213" s="49">
        <v>0</v>
      </c>
      <c r="I213" s="49">
        <v>269</v>
      </c>
      <c r="J213" s="49"/>
      <c r="K213" s="49"/>
      <c r="L213" s="49">
        <f>396.811+3199.873</f>
        <v>3596.6840000000002</v>
      </c>
      <c r="M213" s="49"/>
      <c r="N213" s="49"/>
      <c r="P213" s="33">
        <f t="shared" si="7"/>
        <v>14361.965600000003</v>
      </c>
      <c r="Q213" s="11"/>
    </row>
    <row r="214" spans="1:17" x14ac:dyDescent="0.25">
      <c r="A214" s="78">
        <v>42826</v>
      </c>
      <c r="B214" s="31">
        <v>3906</v>
      </c>
      <c r="C214" s="33">
        <v>3596</v>
      </c>
      <c r="D214" s="50">
        <v>307.2</v>
      </c>
      <c r="E214" s="49">
        <v>562.4</v>
      </c>
      <c r="F214" s="40">
        <v>100.44</v>
      </c>
      <c r="G214" s="49">
        <v>1478.5322200000001</v>
      </c>
      <c r="H214" s="49">
        <v>0</v>
      </c>
      <c r="I214" s="49">
        <v>215.8</v>
      </c>
      <c r="J214" s="49"/>
      <c r="K214" s="49"/>
      <c r="L214" s="49">
        <f>150.302+2599.913</f>
        <v>2750.2150000000001</v>
      </c>
      <c r="M214" s="49"/>
      <c r="N214" s="49"/>
      <c r="P214" s="33">
        <f t="shared" si="7"/>
        <v>12916.587220000001</v>
      </c>
      <c r="Q214" s="11"/>
    </row>
    <row r="215" spans="1:17" x14ac:dyDescent="0.25">
      <c r="A215" s="78">
        <v>42856</v>
      </c>
      <c r="B215" s="31">
        <v>3042.7530000000002</v>
      </c>
      <c r="C215" s="33">
        <v>3861.6</v>
      </c>
      <c r="D215" s="50">
        <v>299.39999999999998</v>
      </c>
      <c r="E215" s="49">
        <v>485.56</v>
      </c>
      <c r="F215" s="40">
        <v>120.3</v>
      </c>
      <c r="G215" s="49">
        <v>1500.73378</v>
      </c>
      <c r="H215" s="49">
        <v>0</v>
      </c>
      <c r="I215" s="49">
        <v>114.1</v>
      </c>
      <c r="J215" s="49"/>
      <c r="K215" s="49"/>
      <c r="L215" s="49">
        <f>146.406+3403.518</f>
        <v>3549.924</v>
      </c>
      <c r="M215" s="49"/>
      <c r="N215" s="49"/>
      <c r="P215" s="33">
        <f t="shared" si="7"/>
        <v>12974.370780000001</v>
      </c>
      <c r="Q215" s="11"/>
    </row>
    <row r="216" spans="1:17" x14ac:dyDescent="0.25">
      <c r="A216" s="78">
        <v>42887</v>
      </c>
      <c r="B216" s="31">
        <v>2309.6010000000001</v>
      </c>
      <c r="C216" s="33">
        <v>3711</v>
      </c>
      <c r="D216" s="50">
        <v>253.5</v>
      </c>
      <c r="E216" s="49">
        <v>309.10000000000002</v>
      </c>
      <c r="F216" s="40">
        <v>73.260000000000005</v>
      </c>
      <c r="G216" s="49">
        <v>1483.9054799999999</v>
      </c>
      <c r="H216" s="49">
        <v>0</v>
      </c>
      <c r="I216" s="49">
        <v>68.2</v>
      </c>
      <c r="J216" s="49"/>
      <c r="K216" s="49"/>
      <c r="L216" s="49">
        <f>304.877+3421.228</f>
        <v>3726.105</v>
      </c>
      <c r="M216" s="49"/>
      <c r="N216" s="49"/>
      <c r="P216" s="33">
        <f t="shared" si="7"/>
        <v>11934.671480000001</v>
      </c>
      <c r="Q216" s="11"/>
    </row>
    <row r="217" spans="1:17" x14ac:dyDescent="0.25">
      <c r="A217" s="78">
        <v>42917</v>
      </c>
      <c r="B217" s="31">
        <v>1967.3430000000001</v>
      </c>
      <c r="C217" s="33">
        <v>3858.2</v>
      </c>
      <c r="D217" s="50">
        <v>351</v>
      </c>
      <c r="E217" s="49">
        <v>278.47000000000003</v>
      </c>
      <c r="F217" s="40">
        <v>67.575000000000003</v>
      </c>
      <c r="G217" s="49">
        <v>1690.31368</v>
      </c>
      <c r="H217" s="49">
        <v>0</v>
      </c>
      <c r="I217" s="49">
        <v>204.2</v>
      </c>
      <c r="J217" s="49"/>
      <c r="K217" s="49"/>
      <c r="L217" s="49">
        <f>573.417+3818.041</f>
        <v>4391.4580000000005</v>
      </c>
      <c r="M217" s="49"/>
      <c r="N217" s="49"/>
      <c r="P217" s="33">
        <f t="shared" si="7"/>
        <v>12808.55968</v>
      </c>
      <c r="Q217" s="11"/>
    </row>
    <row r="218" spans="1:17" x14ac:dyDescent="0.25">
      <c r="A218" s="78">
        <v>42948</v>
      </c>
      <c r="B218" s="31">
        <v>1938.846</v>
      </c>
      <c r="C218" s="33">
        <v>3952.4</v>
      </c>
      <c r="D218" s="50">
        <v>315.10000000000002</v>
      </c>
      <c r="E218" s="49">
        <v>245.34</v>
      </c>
      <c r="F218" s="40">
        <v>10.574999999999999</v>
      </c>
      <c r="G218" s="49">
        <v>1321.03432</v>
      </c>
      <c r="H218" s="49">
        <v>0</v>
      </c>
      <c r="I218" s="49">
        <v>183.6</v>
      </c>
      <c r="J218" s="49">
        <v>0</v>
      </c>
      <c r="K218" s="49"/>
      <c r="L218" s="49">
        <f>941.735+4011.014</f>
        <v>4952.7489999999998</v>
      </c>
      <c r="M218" s="49"/>
      <c r="N218" s="49"/>
      <c r="P218" s="33">
        <f t="shared" si="7"/>
        <v>12919.644319999999</v>
      </c>
      <c r="Q218" s="11"/>
    </row>
    <row r="219" spans="1:17" x14ac:dyDescent="0.25">
      <c r="A219" s="78">
        <v>42979</v>
      </c>
      <c r="B219" s="31">
        <v>1998.1079999999999</v>
      </c>
      <c r="C219" s="33">
        <v>2448.8000000000002</v>
      </c>
      <c r="D219" s="50">
        <v>238.2</v>
      </c>
      <c r="E219" s="49">
        <v>235.79</v>
      </c>
      <c r="F219" s="40">
        <v>0</v>
      </c>
      <c r="G219" s="49">
        <v>1241.3046999999999</v>
      </c>
      <c r="H219" s="49">
        <v>0</v>
      </c>
      <c r="I219" s="49">
        <v>193.4</v>
      </c>
      <c r="J219" s="49">
        <v>0</v>
      </c>
      <c r="K219" s="49"/>
      <c r="L219" s="49">
        <f>3278.3+937.375+3824.883</f>
        <v>8040.558</v>
      </c>
      <c r="M219" s="49"/>
      <c r="N219" s="49"/>
      <c r="P219" s="33">
        <f t="shared" si="7"/>
        <v>14396.1607</v>
      </c>
      <c r="Q219" s="11"/>
    </row>
    <row r="220" spans="1:17" x14ac:dyDescent="0.25">
      <c r="A220" s="78">
        <v>43009</v>
      </c>
      <c r="B220" s="31">
        <v>2702.902</v>
      </c>
      <c r="C220" s="33">
        <v>1543.3</v>
      </c>
      <c r="D220" s="50">
        <v>120.8</v>
      </c>
      <c r="E220" s="49">
        <v>296.39999999999998</v>
      </c>
      <c r="F220" s="40">
        <v>5.5049999999999999</v>
      </c>
      <c r="G220" s="49">
        <v>937.96668</v>
      </c>
      <c r="H220" s="49">
        <v>0</v>
      </c>
      <c r="I220" s="49">
        <v>224.9</v>
      </c>
      <c r="J220" s="49">
        <v>0</v>
      </c>
      <c r="K220" s="49"/>
      <c r="L220" s="49">
        <f>8934.066+59.315+3633.931</f>
        <v>12627.312000000002</v>
      </c>
      <c r="M220" s="49"/>
      <c r="N220" s="49"/>
      <c r="P220" s="33">
        <f t="shared" si="7"/>
        <v>18459.085680000004</v>
      </c>
      <c r="Q220" s="11"/>
    </row>
    <row r="221" spans="1:17" x14ac:dyDescent="0.25">
      <c r="A221" s="78">
        <v>43040</v>
      </c>
      <c r="B221" s="31">
        <v>3118.5210000000002</v>
      </c>
      <c r="C221" s="33">
        <v>1198.2</v>
      </c>
      <c r="D221" s="50">
        <v>445.4</v>
      </c>
      <c r="E221" s="49">
        <v>321.01</v>
      </c>
      <c r="F221" s="40">
        <v>29.414999999999999</v>
      </c>
      <c r="G221" s="49">
        <v>1284.1559999999999</v>
      </c>
      <c r="H221" s="49">
        <v>0</v>
      </c>
      <c r="I221" s="49">
        <v>152.69999999999999</v>
      </c>
      <c r="J221" s="49">
        <v>0</v>
      </c>
      <c r="K221" s="49"/>
      <c r="L221" s="49">
        <f>9753.237+0+1825.306</f>
        <v>11578.543</v>
      </c>
      <c r="M221" s="49"/>
      <c r="N221" s="49"/>
      <c r="P221" s="33">
        <f t="shared" si="7"/>
        <v>18127.945</v>
      </c>
      <c r="Q221" s="11"/>
    </row>
    <row r="222" spans="1:17" x14ac:dyDescent="0.25">
      <c r="A222" s="78">
        <v>43070</v>
      </c>
      <c r="B222" s="33">
        <v>3207.078</v>
      </c>
      <c r="C222" s="33">
        <v>1322.3</v>
      </c>
      <c r="D222" s="33">
        <v>386.5</v>
      </c>
      <c r="E222" s="33">
        <v>343.28</v>
      </c>
      <c r="F222" s="33">
        <v>67.935000000000002</v>
      </c>
      <c r="G222" s="33">
        <v>1585.77656</v>
      </c>
      <c r="H222" s="33">
        <v>0</v>
      </c>
      <c r="I222" s="33">
        <v>30.6</v>
      </c>
      <c r="J222" s="49">
        <v>0</v>
      </c>
      <c r="K222" s="49"/>
      <c r="L222" s="33">
        <v>12168.966</v>
      </c>
      <c r="M222" s="33"/>
      <c r="N222" s="33"/>
      <c r="P222" s="33">
        <f t="shared" si="7"/>
        <v>19112.435560000002</v>
      </c>
      <c r="Q222" s="11"/>
    </row>
    <row r="223" spans="1:17" x14ac:dyDescent="0.25">
      <c r="A223" s="78">
        <v>43101</v>
      </c>
      <c r="B223" s="31">
        <v>3892.875</v>
      </c>
      <c r="C223" s="33">
        <v>2488.1999999999998</v>
      </c>
      <c r="D223" s="31">
        <v>517.20000000000005</v>
      </c>
      <c r="E223" s="33">
        <v>489.96</v>
      </c>
      <c r="F223" s="31">
        <v>123.97499999999999</v>
      </c>
      <c r="G223" s="33">
        <v>1568.6436000000001</v>
      </c>
      <c r="H223" s="33">
        <v>4.08</v>
      </c>
      <c r="I223" s="33">
        <v>151.9</v>
      </c>
      <c r="J223" s="49">
        <v>0</v>
      </c>
      <c r="K223" s="49"/>
      <c r="L223" s="33">
        <v>9899.8169999999991</v>
      </c>
      <c r="M223" s="33"/>
      <c r="N223" s="33"/>
      <c r="P223" s="33">
        <f t="shared" si="7"/>
        <v>19136.650600000001</v>
      </c>
    </row>
    <row r="224" spans="1:17" x14ac:dyDescent="0.25">
      <c r="A224" s="78">
        <v>43132</v>
      </c>
      <c r="B224" s="31">
        <v>3802.0920000000001</v>
      </c>
      <c r="C224" s="33">
        <v>2462.4</v>
      </c>
      <c r="D224" s="31">
        <v>517.20000000000005</v>
      </c>
      <c r="E224" s="33">
        <v>401.37</v>
      </c>
      <c r="F224" s="31">
        <v>87.15</v>
      </c>
      <c r="G224" s="33">
        <v>1340.9992</v>
      </c>
      <c r="H224" s="33">
        <v>22.32</v>
      </c>
      <c r="I224" s="33">
        <v>229</v>
      </c>
      <c r="J224" s="49">
        <v>0</v>
      </c>
      <c r="K224" s="49"/>
      <c r="L224" s="33">
        <v>7833.0285000000003</v>
      </c>
      <c r="M224" s="33"/>
      <c r="N224" s="33"/>
      <c r="P224" s="33">
        <f t="shared" ref="P224:P230" si="8">SUM(B224:L224)</f>
        <v>16695.559699999998</v>
      </c>
    </row>
    <row r="225" spans="1:16" x14ac:dyDescent="0.25">
      <c r="A225" s="78">
        <v>43160</v>
      </c>
      <c r="B225" s="31">
        <v>4487.973</v>
      </c>
      <c r="C225" s="33">
        <v>4089.5</v>
      </c>
      <c r="D225" s="31">
        <v>402.3</v>
      </c>
      <c r="E225" s="33">
        <v>351.09</v>
      </c>
      <c r="F225" s="31">
        <v>146.07</v>
      </c>
      <c r="G225" s="33">
        <v>1311.1572000000001</v>
      </c>
      <c r="H225" s="33">
        <v>13.08</v>
      </c>
      <c r="I225" s="33">
        <v>286.5</v>
      </c>
      <c r="J225" s="49">
        <v>0</v>
      </c>
      <c r="K225" s="49"/>
      <c r="L225" s="33">
        <v>8676.2165000000005</v>
      </c>
      <c r="M225" s="33"/>
      <c r="N225" s="33"/>
      <c r="P225" s="33">
        <f t="shared" si="8"/>
        <v>19763.886699999999</v>
      </c>
    </row>
    <row r="226" spans="1:16" x14ac:dyDescent="0.25">
      <c r="A226" s="78">
        <v>43191</v>
      </c>
      <c r="B226" s="31">
        <v>5586.0630000000001</v>
      </c>
      <c r="C226" s="33">
        <v>3859.92</v>
      </c>
      <c r="D226" s="31">
        <v>70.2</v>
      </c>
      <c r="E226" s="33">
        <v>348.91</v>
      </c>
      <c r="F226" s="31">
        <v>360.45</v>
      </c>
      <c r="G226" s="33">
        <v>659.87512000000004</v>
      </c>
      <c r="H226" s="33">
        <v>15.6</v>
      </c>
      <c r="I226" s="33">
        <v>262</v>
      </c>
      <c r="J226" s="33">
        <v>66.758399999999995</v>
      </c>
      <c r="K226" s="33"/>
      <c r="L226" s="33">
        <v>7868.9894999999997</v>
      </c>
      <c r="M226" s="33"/>
      <c r="N226" s="33"/>
      <c r="P226" s="33">
        <f t="shared" si="8"/>
        <v>19098.766020000003</v>
      </c>
    </row>
    <row r="227" spans="1:16" x14ac:dyDescent="0.25">
      <c r="A227" s="78">
        <v>43221</v>
      </c>
      <c r="B227" s="31">
        <v>5391.393</v>
      </c>
      <c r="C227" s="33">
        <v>9825.1</v>
      </c>
      <c r="D227" s="31">
        <v>174.3</v>
      </c>
      <c r="E227" s="33">
        <v>375.49</v>
      </c>
      <c r="F227" s="31">
        <v>220.96</v>
      </c>
      <c r="G227" s="33">
        <v>1091.8443199999999</v>
      </c>
      <c r="H227" s="33">
        <v>41.16</v>
      </c>
      <c r="I227" s="33">
        <v>302.89999999999998</v>
      </c>
      <c r="J227" s="33">
        <v>7.4047999999999998</v>
      </c>
      <c r="K227" s="33"/>
      <c r="L227" s="33">
        <v>3950.1840000000002</v>
      </c>
      <c r="M227" s="33"/>
      <c r="N227" s="33"/>
      <c r="P227" s="33">
        <f t="shared" si="8"/>
        <v>21380.736120000001</v>
      </c>
    </row>
    <row r="228" spans="1:16" x14ac:dyDescent="0.25">
      <c r="A228" s="78">
        <v>43252</v>
      </c>
      <c r="B228" s="31">
        <v>3572.8560000000002</v>
      </c>
      <c r="C228" s="33">
        <v>5937</v>
      </c>
      <c r="D228" s="31">
        <v>324.89999999999998</v>
      </c>
      <c r="E228" s="33">
        <v>342.26</v>
      </c>
      <c r="F228" s="31">
        <v>65.084999999999994</v>
      </c>
      <c r="G228" s="33">
        <v>1124.12608</v>
      </c>
      <c r="H228" s="33">
        <v>59.76</v>
      </c>
      <c r="I228" s="33">
        <v>241</v>
      </c>
      <c r="J228" s="33">
        <v>117.157</v>
      </c>
      <c r="K228" s="33"/>
      <c r="L228" s="33">
        <v>7550.9840000000004</v>
      </c>
      <c r="M228" s="33"/>
      <c r="N228" s="33"/>
      <c r="P228" s="33">
        <f t="shared" si="8"/>
        <v>19335.128079999999</v>
      </c>
    </row>
    <row r="229" spans="1:16" x14ac:dyDescent="0.25">
      <c r="A229" s="78">
        <v>43282</v>
      </c>
      <c r="B229" s="31">
        <v>2938.404</v>
      </c>
      <c r="C229" s="33">
        <v>4622</v>
      </c>
      <c r="D229" s="31">
        <v>351.4</v>
      </c>
      <c r="E229" s="33">
        <v>360.3</v>
      </c>
      <c r="F229" s="31">
        <v>58.814999999999998</v>
      </c>
      <c r="G229" s="33">
        <v>1036.0641599999999</v>
      </c>
      <c r="H229" s="33">
        <v>61.92</v>
      </c>
      <c r="I229" s="33">
        <v>278.3</v>
      </c>
      <c r="J229" s="33">
        <v>205.334</v>
      </c>
      <c r="K229" s="33"/>
      <c r="L229" s="33">
        <v>9778.6605</v>
      </c>
      <c r="M229" s="33"/>
      <c r="N229" s="33"/>
      <c r="P229" s="33">
        <f t="shared" si="8"/>
        <v>19691.197659999998</v>
      </c>
    </row>
    <row r="230" spans="1:16" x14ac:dyDescent="0.25">
      <c r="A230" s="78">
        <v>43313</v>
      </c>
      <c r="B230" s="31">
        <v>3193.375</v>
      </c>
      <c r="C230" s="33">
        <v>5467</v>
      </c>
      <c r="D230" s="31">
        <v>340.3</v>
      </c>
      <c r="E230" s="33">
        <v>335.27</v>
      </c>
      <c r="F230" s="31">
        <v>68.864999999999995</v>
      </c>
      <c r="G230" s="33">
        <v>757.92416000000003</v>
      </c>
      <c r="H230" s="33">
        <v>46.8</v>
      </c>
      <c r="I230" s="33">
        <v>247.5</v>
      </c>
      <c r="J230" s="33">
        <v>175.148</v>
      </c>
      <c r="K230" s="33"/>
      <c r="L230" s="33">
        <v>7914.357</v>
      </c>
      <c r="M230" s="33"/>
      <c r="N230" s="33"/>
      <c r="P230" s="33">
        <f t="shared" si="8"/>
        <v>18546.53916</v>
      </c>
    </row>
    <row r="231" spans="1:16" x14ac:dyDescent="0.25">
      <c r="A231" s="78">
        <v>43344</v>
      </c>
      <c r="B231" s="31">
        <v>2687.748</v>
      </c>
      <c r="C231" s="33">
        <v>5479.7</v>
      </c>
      <c r="D231" s="31">
        <v>347</v>
      </c>
      <c r="E231" s="33">
        <v>298.54000000000002</v>
      </c>
      <c r="F231" s="31">
        <v>99.42</v>
      </c>
      <c r="G231" s="33">
        <v>1152.6351999999999</v>
      </c>
      <c r="H231" s="33">
        <v>52.56</v>
      </c>
      <c r="I231" s="33">
        <v>234.6</v>
      </c>
      <c r="J231" s="33">
        <v>100.06</v>
      </c>
      <c r="K231" s="33"/>
      <c r="L231" s="33">
        <v>9480.7659999999996</v>
      </c>
      <c r="M231" s="33"/>
      <c r="N231" s="33"/>
      <c r="P231" s="33">
        <v>19933.029200000001</v>
      </c>
    </row>
    <row r="232" spans="1:16" x14ac:dyDescent="0.25">
      <c r="A232" s="78">
        <v>43374</v>
      </c>
      <c r="B232" s="31">
        <v>2952.5369999999998</v>
      </c>
      <c r="C232" s="33">
        <v>4602.8</v>
      </c>
      <c r="D232" s="31">
        <v>418.2</v>
      </c>
      <c r="E232" s="33">
        <v>303.95999999999998</v>
      </c>
      <c r="F232" s="31">
        <v>55.2</v>
      </c>
      <c r="G232" s="33">
        <v>1059.75656</v>
      </c>
      <c r="H232" s="33">
        <v>58.08</v>
      </c>
      <c r="I232" s="33">
        <v>259.39999999999998</v>
      </c>
      <c r="J232" s="33">
        <v>173.51300000000001</v>
      </c>
      <c r="K232" s="33"/>
      <c r="L232" s="33">
        <v>10187.201999999999</v>
      </c>
      <c r="M232" s="33"/>
      <c r="N232" s="33"/>
      <c r="P232" s="33">
        <v>20070.648560000001</v>
      </c>
    </row>
    <row r="233" spans="1:16" x14ac:dyDescent="0.25">
      <c r="A233" s="78">
        <v>43405</v>
      </c>
      <c r="B233" s="31">
        <v>3529.596</v>
      </c>
      <c r="C233" s="33">
        <v>4410.8999999999996</v>
      </c>
      <c r="D233" s="31">
        <v>425.6</v>
      </c>
      <c r="E233" s="33">
        <v>323.12</v>
      </c>
      <c r="F233" s="31">
        <v>80.73</v>
      </c>
      <c r="G233" s="33">
        <v>1100.2446399999999</v>
      </c>
      <c r="H233" s="33">
        <v>13.32</v>
      </c>
      <c r="I233" s="33">
        <v>284.60000000000002</v>
      </c>
      <c r="J233" s="33">
        <v>176.422</v>
      </c>
      <c r="K233" s="33"/>
      <c r="L233" s="33">
        <v>8805.7970000000005</v>
      </c>
      <c r="M233" s="33"/>
      <c r="N233" s="33"/>
      <c r="P233" s="33">
        <v>19150.329640000004</v>
      </c>
    </row>
    <row r="234" spans="1:16" x14ac:dyDescent="0.25">
      <c r="A234" s="78">
        <v>43435</v>
      </c>
      <c r="B234" s="31">
        <v>4591.2719999999999</v>
      </c>
      <c r="C234" s="33">
        <v>4999.8</v>
      </c>
      <c r="D234" s="33">
        <v>483.5</v>
      </c>
      <c r="E234" s="33">
        <v>368.79</v>
      </c>
      <c r="F234" s="31">
        <v>115.065</v>
      </c>
      <c r="G234" s="33">
        <v>1243.2010399999999</v>
      </c>
      <c r="H234" s="31">
        <v>59.52</v>
      </c>
      <c r="I234" s="33">
        <v>143.6</v>
      </c>
      <c r="J234" s="33">
        <v>201.887</v>
      </c>
      <c r="K234" s="33"/>
      <c r="L234" s="33">
        <v>7141.4480000000003</v>
      </c>
      <c r="M234" s="33"/>
      <c r="N234" s="33"/>
      <c r="P234" s="33">
        <v>19348.083040000001</v>
      </c>
    </row>
    <row r="235" spans="1:16" x14ac:dyDescent="0.25">
      <c r="A235" s="78">
        <v>43466</v>
      </c>
      <c r="B235" s="31">
        <v>4286.5410000000002</v>
      </c>
      <c r="C235" s="33">
        <v>4752.8</v>
      </c>
      <c r="D235" s="31">
        <v>538.9</v>
      </c>
      <c r="E235" s="33">
        <v>355.6</v>
      </c>
      <c r="F235" s="31">
        <v>65.94</v>
      </c>
      <c r="G235" s="33">
        <v>1217.4959200000001</v>
      </c>
      <c r="H235" s="33">
        <v>60.84</v>
      </c>
      <c r="I235" s="33">
        <v>281.7</v>
      </c>
      <c r="J235" s="33">
        <v>198.7</v>
      </c>
      <c r="K235" s="33"/>
      <c r="L235" s="33">
        <v>8715.1389999999992</v>
      </c>
      <c r="M235" s="33"/>
      <c r="N235" s="33"/>
      <c r="P235" s="33">
        <v>20473.655920000001</v>
      </c>
    </row>
    <row r="236" spans="1:16" x14ac:dyDescent="0.25">
      <c r="A236" s="78">
        <v>43497</v>
      </c>
      <c r="B236" s="31">
        <v>3969.3780000000002</v>
      </c>
      <c r="C236" s="33">
        <v>3976.3</v>
      </c>
      <c r="D236" s="31">
        <v>473</v>
      </c>
      <c r="E236" s="33">
        <v>446.76</v>
      </c>
      <c r="F236" s="31">
        <v>69.075000000000003</v>
      </c>
      <c r="G236" s="33">
        <v>847.36264000000006</v>
      </c>
      <c r="H236" s="33">
        <v>158.16</v>
      </c>
      <c r="I236" s="33">
        <v>144.80000000000001</v>
      </c>
      <c r="J236" s="33">
        <v>178.27799999999999</v>
      </c>
      <c r="K236" s="33"/>
      <c r="L236" s="33">
        <v>8595.7710000000006</v>
      </c>
      <c r="M236" s="33"/>
      <c r="N236" s="33"/>
      <c r="P236" s="33">
        <v>18858.88464</v>
      </c>
    </row>
    <row r="237" spans="1:16" x14ac:dyDescent="0.25">
      <c r="A237" s="78">
        <v>43525</v>
      </c>
      <c r="B237" s="31">
        <v>5092.5839999999998</v>
      </c>
      <c r="C237" s="33">
        <v>4719.7</v>
      </c>
      <c r="D237" s="31">
        <v>347</v>
      </c>
      <c r="E237" s="33">
        <v>490.74</v>
      </c>
      <c r="F237" s="31">
        <v>88.32</v>
      </c>
      <c r="G237" s="33">
        <v>1030.12904</v>
      </c>
      <c r="H237" s="33">
        <v>54.36</v>
      </c>
      <c r="I237" s="33">
        <v>138</v>
      </c>
      <c r="J237" s="33">
        <v>198.35599999999999</v>
      </c>
      <c r="K237" s="33"/>
      <c r="L237" s="33">
        <v>10196.800999999999</v>
      </c>
      <c r="M237" s="33"/>
      <c r="N237" s="33"/>
      <c r="P237" s="33">
        <v>22355.990039999997</v>
      </c>
    </row>
    <row r="238" spans="1:16" x14ac:dyDescent="0.25">
      <c r="A238" s="78">
        <v>43556</v>
      </c>
      <c r="B238" s="31">
        <v>2834.9789999999998</v>
      </c>
      <c r="C238" s="33">
        <v>3334.3</v>
      </c>
      <c r="D238" s="31">
        <v>325.79999999999899</v>
      </c>
      <c r="E238" s="33">
        <v>557.30999999999801</v>
      </c>
      <c r="F238" s="31">
        <v>100.41</v>
      </c>
      <c r="G238" s="33">
        <v>1380.8643999999999</v>
      </c>
      <c r="H238" s="33">
        <v>52.56</v>
      </c>
      <c r="I238" s="33">
        <v>143.9</v>
      </c>
      <c r="J238" s="33">
        <v>199.8</v>
      </c>
      <c r="K238" s="33"/>
      <c r="L238" s="33">
        <v>12038.235000000001</v>
      </c>
      <c r="M238" s="33"/>
      <c r="N238" s="33"/>
      <c r="P238" s="33">
        <v>20968.158399999997</v>
      </c>
    </row>
    <row r="239" spans="1:16" x14ac:dyDescent="0.25">
      <c r="A239" s="78">
        <v>43586</v>
      </c>
      <c r="B239" s="31">
        <v>4283.3280000000004</v>
      </c>
      <c r="C239" s="33">
        <v>4437.3</v>
      </c>
      <c r="D239" s="31">
        <v>553.80000000000302</v>
      </c>
      <c r="E239" s="33">
        <v>503.31000000000103</v>
      </c>
      <c r="F239" s="31">
        <v>94.485000000000198</v>
      </c>
      <c r="G239" s="33">
        <v>1716.106</v>
      </c>
      <c r="H239" s="33">
        <v>59.04</v>
      </c>
      <c r="I239" s="33">
        <v>169.2</v>
      </c>
      <c r="J239" s="33">
        <v>188.52199999999999</v>
      </c>
      <c r="K239" s="33"/>
      <c r="L239" s="33">
        <v>11916.984</v>
      </c>
      <c r="M239" s="33"/>
      <c r="N239" s="33"/>
      <c r="P239" s="33">
        <v>23922.075000000008</v>
      </c>
    </row>
    <row r="240" spans="1:16" x14ac:dyDescent="0.25">
      <c r="A240" s="78">
        <v>43617</v>
      </c>
      <c r="B240" s="31">
        <v>3298.8690000000001</v>
      </c>
      <c r="C240" s="33">
        <v>3128.9</v>
      </c>
      <c r="D240" s="31">
        <v>559.19999999999698</v>
      </c>
      <c r="E240" s="33">
        <v>410.87</v>
      </c>
      <c r="F240" s="31">
        <v>78.825000000000003</v>
      </c>
      <c r="G240" s="33">
        <v>1631.325</v>
      </c>
      <c r="H240" s="33">
        <v>62.4</v>
      </c>
      <c r="I240" s="33">
        <v>228.2</v>
      </c>
      <c r="J240" s="33">
        <v>149.143</v>
      </c>
      <c r="K240" s="33"/>
      <c r="L240" s="33">
        <v>11479.212</v>
      </c>
      <c r="M240" s="33"/>
      <c r="N240" s="33"/>
      <c r="P240" s="33">
        <v>21026.943999999996</v>
      </c>
    </row>
    <row r="241" spans="1:16" x14ac:dyDescent="0.25">
      <c r="A241" s="78">
        <v>43647</v>
      </c>
      <c r="B241" s="31">
        <v>2745.8969999999999</v>
      </c>
      <c r="C241" s="33">
        <v>4048.3</v>
      </c>
      <c r="D241" s="31">
        <v>515.29999999999995</v>
      </c>
      <c r="E241" s="33">
        <v>284.43990000000002</v>
      </c>
      <c r="F241" s="31">
        <v>55.32</v>
      </c>
      <c r="G241" s="33">
        <v>1754.6559199999999</v>
      </c>
      <c r="H241" s="33">
        <v>61.8</v>
      </c>
      <c r="I241" s="33">
        <v>138.1</v>
      </c>
      <c r="J241" s="33">
        <v>148.154</v>
      </c>
      <c r="K241" s="33"/>
      <c r="L241" s="33">
        <v>12102.407999999999</v>
      </c>
      <c r="M241" s="33"/>
      <c r="N241" s="33"/>
      <c r="P241" s="33">
        <v>21854.374819999997</v>
      </c>
    </row>
    <row r="242" spans="1:16" x14ac:dyDescent="0.25">
      <c r="A242" s="78">
        <v>43678</v>
      </c>
      <c r="B242" s="31">
        <v>2137.779</v>
      </c>
      <c r="C242" s="33">
        <v>4519.6000000000004</v>
      </c>
      <c r="D242" s="31">
        <v>355.8</v>
      </c>
      <c r="E242" s="33">
        <v>240.46</v>
      </c>
      <c r="F242" s="31">
        <v>23.91</v>
      </c>
      <c r="G242" s="33">
        <v>1452.395</v>
      </c>
      <c r="H242" s="33">
        <v>64.2</v>
      </c>
      <c r="I242" s="33">
        <v>184.36850000000001</v>
      </c>
      <c r="J242" s="33">
        <v>86.789000000000001</v>
      </c>
      <c r="K242" s="33"/>
      <c r="L242" s="33">
        <v>13089.815500000001</v>
      </c>
      <c r="M242" s="33"/>
      <c r="N242" s="33"/>
      <c r="P242" s="33">
        <v>22155.117000000006</v>
      </c>
    </row>
    <row r="243" spans="1:16" x14ac:dyDescent="0.25">
      <c r="A243" s="78">
        <v>43709</v>
      </c>
      <c r="B243" s="31">
        <v>2469.348</v>
      </c>
      <c r="C243" s="33">
        <v>4770.7</v>
      </c>
      <c r="D243" s="31">
        <v>400.8</v>
      </c>
      <c r="E243" s="33">
        <v>340.12</v>
      </c>
      <c r="F243" s="31">
        <v>23.55</v>
      </c>
      <c r="G243" s="33">
        <v>1300.4120800000001</v>
      </c>
      <c r="H243" s="33">
        <v>6.84</v>
      </c>
      <c r="I243" s="33">
        <v>193.8</v>
      </c>
      <c r="J243" s="33">
        <v>145.351</v>
      </c>
      <c r="K243" s="33"/>
      <c r="L243" s="33">
        <v>11680.859</v>
      </c>
      <c r="M243" s="33"/>
      <c r="N243" s="33"/>
      <c r="P243" s="33">
        <v>21331.78008</v>
      </c>
    </row>
    <row r="244" spans="1:16" x14ac:dyDescent="0.25">
      <c r="A244" s="78">
        <v>43739</v>
      </c>
      <c r="B244" s="31">
        <v>3591.9659999999999</v>
      </c>
      <c r="C244" s="33">
        <v>4440.8999999999996</v>
      </c>
      <c r="D244" s="33">
        <v>659.9</v>
      </c>
      <c r="E244" s="33">
        <v>539.19000000000005</v>
      </c>
      <c r="F244" s="31">
        <v>79.004999999999995</v>
      </c>
      <c r="G244" s="33">
        <v>1536.799</v>
      </c>
      <c r="H244" s="33">
        <v>50.88</v>
      </c>
      <c r="I244" s="33">
        <v>232.7</v>
      </c>
      <c r="J244" s="33">
        <v>193.935</v>
      </c>
      <c r="K244" s="33"/>
      <c r="L244" s="33">
        <v>9845.9140000000007</v>
      </c>
      <c r="M244" s="33"/>
      <c r="N244" s="33"/>
      <c r="P244" s="33">
        <v>21171.188999999998</v>
      </c>
    </row>
    <row r="245" spans="1:16" x14ac:dyDescent="0.25">
      <c r="A245" s="78">
        <v>43770</v>
      </c>
      <c r="B245" s="31">
        <v>3868.2840000000001</v>
      </c>
      <c r="C245" s="33">
        <v>4576.2</v>
      </c>
      <c r="D245" s="33">
        <v>617.1</v>
      </c>
      <c r="E245" s="33">
        <v>492.78</v>
      </c>
      <c r="F245" s="31">
        <v>112.27500000000001</v>
      </c>
      <c r="G245" s="33">
        <v>1478.0963999999999</v>
      </c>
      <c r="H245" s="33">
        <v>63.72</v>
      </c>
      <c r="I245" s="33">
        <v>214.6</v>
      </c>
      <c r="J245" s="33">
        <v>189.72800000000001</v>
      </c>
      <c r="K245" s="33"/>
      <c r="L245" s="33">
        <v>8651.3165000000008</v>
      </c>
      <c r="M245" s="33"/>
      <c r="N245" s="33"/>
      <c r="P245" s="33">
        <v>20264.099900000001</v>
      </c>
    </row>
    <row r="246" spans="1:16" x14ac:dyDescent="0.25">
      <c r="A246" s="78">
        <v>43800</v>
      </c>
      <c r="B246" s="31">
        <v>5641.0410000000002</v>
      </c>
      <c r="C246" s="33">
        <v>6421.34</v>
      </c>
      <c r="D246" s="33">
        <v>787.6</v>
      </c>
      <c r="E246" s="33">
        <v>628.69000000000005</v>
      </c>
      <c r="F246" s="31">
        <v>327.06</v>
      </c>
      <c r="G246" s="33">
        <v>1668.91</v>
      </c>
      <c r="H246" s="33">
        <v>68.52</v>
      </c>
      <c r="I246" s="33">
        <v>235.1</v>
      </c>
      <c r="J246" s="33">
        <v>196.15199999999999</v>
      </c>
      <c r="K246" s="33"/>
      <c r="L246" s="33">
        <v>5481.1440000000002</v>
      </c>
      <c r="M246" s="33"/>
      <c r="N246" s="33"/>
      <c r="P246" s="33">
        <v>21455.557000000001</v>
      </c>
    </row>
    <row r="247" spans="1:16" x14ac:dyDescent="0.25">
      <c r="A247" s="78">
        <v>43831</v>
      </c>
      <c r="B247" s="31">
        <v>3833.424</v>
      </c>
      <c r="C247" s="33">
        <v>12000.4</v>
      </c>
      <c r="D247" s="33">
        <v>872</v>
      </c>
      <c r="E247" s="33">
        <v>494.3</v>
      </c>
      <c r="F247" s="31">
        <v>263.01</v>
      </c>
      <c r="G247" s="33">
        <v>1665.731</v>
      </c>
      <c r="H247" s="33">
        <v>63.96</v>
      </c>
      <c r="I247" s="33">
        <v>184.6</v>
      </c>
      <c r="J247" s="33">
        <v>56.244</v>
      </c>
      <c r="K247" s="33"/>
      <c r="L247" s="33">
        <v>4024.3629999999998</v>
      </c>
      <c r="M247" s="33"/>
      <c r="N247" s="33"/>
      <c r="P247" s="113">
        <v>23458.031999999996</v>
      </c>
    </row>
    <row r="248" spans="1:16" x14ac:dyDescent="0.25">
      <c r="A248" s="78">
        <v>43862</v>
      </c>
      <c r="B248" s="31">
        <v>3965.0309999999999</v>
      </c>
      <c r="C248" s="33">
        <v>9460.85</v>
      </c>
      <c r="D248" s="33">
        <v>87.4</v>
      </c>
      <c r="E248" s="33">
        <v>431.15</v>
      </c>
      <c r="F248" s="31">
        <v>245.01</v>
      </c>
      <c r="G248" s="33">
        <v>1142.1020000000001</v>
      </c>
      <c r="H248" s="33">
        <v>61.44</v>
      </c>
      <c r="I248" s="33">
        <v>204.7</v>
      </c>
      <c r="J248" s="33">
        <v>0</v>
      </c>
      <c r="K248" s="33"/>
      <c r="L248" s="33">
        <v>5477.683</v>
      </c>
      <c r="M248" s="33"/>
      <c r="N248" s="33"/>
      <c r="P248" s="113">
        <v>21075.366000000002</v>
      </c>
    </row>
    <row r="249" spans="1:16" x14ac:dyDescent="0.25">
      <c r="A249" s="78">
        <v>43891</v>
      </c>
      <c r="B249" s="31">
        <v>5227.509</v>
      </c>
      <c r="C249" s="33">
        <v>9000.1200000000008</v>
      </c>
      <c r="D249" s="33">
        <v>399.9</v>
      </c>
      <c r="E249" s="33">
        <v>547.91999999999996</v>
      </c>
      <c r="F249" s="31">
        <v>408.58499999999998</v>
      </c>
      <c r="G249" s="33">
        <v>1142.1020000000001</v>
      </c>
      <c r="H249" s="33">
        <v>66.239999999999995</v>
      </c>
      <c r="I249" s="33">
        <v>204.7</v>
      </c>
      <c r="J249" s="33">
        <v>0</v>
      </c>
      <c r="K249" s="33"/>
      <c r="L249" s="33">
        <v>4357.893</v>
      </c>
      <c r="M249" s="33"/>
      <c r="N249" s="33"/>
      <c r="P249" s="113">
        <v>21354.969000000001</v>
      </c>
    </row>
    <row r="250" spans="1:16" x14ac:dyDescent="0.25">
      <c r="A250" s="78">
        <v>43922</v>
      </c>
      <c r="B250" s="31">
        <v>5611.6620000000003</v>
      </c>
      <c r="C250" s="33">
        <v>9543.0400000000009</v>
      </c>
      <c r="D250" s="33">
        <v>413.3</v>
      </c>
      <c r="E250" s="33">
        <v>493.11</v>
      </c>
      <c r="F250" s="31">
        <v>250.14</v>
      </c>
      <c r="G250" s="33">
        <v>1481.4037599999999</v>
      </c>
      <c r="H250" s="33">
        <v>0</v>
      </c>
      <c r="I250" s="33">
        <v>251.2</v>
      </c>
      <c r="J250" s="33">
        <v>0</v>
      </c>
      <c r="K250" s="33"/>
      <c r="L250" s="33">
        <v>4175.2439999999997</v>
      </c>
      <c r="M250" s="33"/>
      <c r="N250" s="33"/>
      <c r="P250" s="33">
        <v>22219.099760000001</v>
      </c>
    </row>
    <row r="251" spans="1:16" x14ac:dyDescent="0.25">
      <c r="A251" s="78">
        <v>43952</v>
      </c>
      <c r="B251" s="31">
        <v>5516.07</v>
      </c>
      <c r="C251" s="33">
        <v>11509.8</v>
      </c>
      <c r="D251" s="33">
        <v>0</v>
      </c>
      <c r="E251" s="33">
        <v>573.98</v>
      </c>
      <c r="F251" s="31">
        <v>224.7</v>
      </c>
      <c r="G251" s="33">
        <v>1665.329</v>
      </c>
      <c r="H251" s="33">
        <v>0</v>
      </c>
      <c r="I251" s="33">
        <v>294</v>
      </c>
      <c r="J251" s="33">
        <v>149.672</v>
      </c>
      <c r="K251" s="33"/>
      <c r="L251" s="33">
        <v>4409.0590000000002</v>
      </c>
      <c r="M251" s="33"/>
      <c r="N251" s="33"/>
      <c r="P251" s="33">
        <v>24342.61</v>
      </c>
    </row>
    <row r="252" spans="1:16" x14ac:dyDescent="0.25">
      <c r="A252" s="78">
        <v>43983</v>
      </c>
      <c r="B252" s="31">
        <v>4557.3990000000003</v>
      </c>
      <c r="C252" s="33">
        <v>8231.94</v>
      </c>
      <c r="D252" s="33">
        <v>0</v>
      </c>
      <c r="E252" s="33">
        <v>658.54</v>
      </c>
      <c r="F252" s="31">
        <v>98.52</v>
      </c>
      <c r="G252" s="33">
        <v>1335.9179999999999</v>
      </c>
      <c r="H252" s="33">
        <v>12.72</v>
      </c>
      <c r="I252" s="33">
        <v>281.8</v>
      </c>
      <c r="J252" s="33">
        <v>179.191</v>
      </c>
      <c r="K252" s="33"/>
      <c r="L252" s="33">
        <v>6858.3959999999997</v>
      </c>
      <c r="M252" s="33"/>
      <c r="N252" s="33"/>
      <c r="P252" s="33">
        <v>22214.423999999999</v>
      </c>
    </row>
    <row r="253" spans="1:16" x14ac:dyDescent="0.25">
      <c r="A253" s="78">
        <v>44013</v>
      </c>
      <c r="B253" s="33">
        <v>3667.9650000000001</v>
      </c>
      <c r="C253" s="33">
        <v>6807.65</v>
      </c>
      <c r="D253" s="33">
        <v>186.4</v>
      </c>
      <c r="E253" s="33">
        <v>262.58</v>
      </c>
      <c r="F253" s="33">
        <v>116.1</v>
      </c>
      <c r="G253" s="33">
        <v>1474.096</v>
      </c>
      <c r="H253" s="33">
        <v>10.32</v>
      </c>
      <c r="I253" s="33">
        <v>261.60000000000002</v>
      </c>
      <c r="J253" s="33">
        <v>209.81899999999999</v>
      </c>
      <c r="K253" s="33"/>
      <c r="L253" s="33">
        <v>9314.8680000000004</v>
      </c>
      <c r="M253" s="33"/>
      <c r="N253" s="33"/>
      <c r="P253" s="33">
        <v>22311.398000000001</v>
      </c>
    </row>
    <row r="254" spans="1:16" x14ac:dyDescent="0.25">
      <c r="A254" s="78">
        <v>44044</v>
      </c>
      <c r="B254" s="33">
        <v>2986.116</v>
      </c>
      <c r="C254" s="33">
        <v>6704.4</v>
      </c>
      <c r="D254" s="33">
        <v>479.4</v>
      </c>
      <c r="E254" s="33">
        <v>300.52</v>
      </c>
      <c r="F254" s="33">
        <v>58.784999999999997</v>
      </c>
      <c r="G254" s="33">
        <v>1364.5</v>
      </c>
      <c r="H254" s="33">
        <v>7.32</v>
      </c>
      <c r="I254" s="33">
        <v>242.5</v>
      </c>
      <c r="J254" s="33">
        <v>204.09100000000001</v>
      </c>
      <c r="K254" s="33"/>
      <c r="L254" s="33">
        <v>8914.4429999999993</v>
      </c>
      <c r="M254" s="33"/>
      <c r="N254" s="33"/>
      <c r="P254" s="33">
        <v>21262.074999999997</v>
      </c>
    </row>
    <row r="255" spans="1:16" x14ac:dyDescent="0.25">
      <c r="A255" s="78">
        <v>44075</v>
      </c>
      <c r="B255" s="31">
        <v>2755.5990000000002</v>
      </c>
      <c r="C255" s="33">
        <v>6575.33</v>
      </c>
      <c r="D255" s="33">
        <v>166.5</v>
      </c>
      <c r="E255" s="33">
        <v>287.14999999999998</v>
      </c>
      <c r="F255" s="31">
        <v>84.465000000000003</v>
      </c>
      <c r="G255" s="33">
        <v>1253.3281200000001</v>
      </c>
      <c r="H255" s="33">
        <v>6.36</v>
      </c>
      <c r="I255" s="33">
        <v>229.6875</v>
      </c>
      <c r="J255" s="33">
        <v>204.80500000000001</v>
      </c>
      <c r="K255" s="33"/>
      <c r="L255" s="33">
        <v>9927.3970000000008</v>
      </c>
      <c r="M255" s="33"/>
      <c r="N255" s="33"/>
      <c r="P255" s="33">
        <v>21490.621620000002</v>
      </c>
    </row>
    <row r="256" spans="1:16" x14ac:dyDescent="0.25">
      <c r="A256" s="78">
        <v>44105</v>
      </c>
      <c r="B256" s="31">
        <v>2713.9349999999999</v>
      </c>
      <c r="C256" s="33">
        <v>6633.51</v>
      </c>
      <c r="D256" s="33">
        <v>489.5</v>
      </c>
      <c r="E256" s="33">
        <v>297.77</v>
      </c>
      <c r="F256" s="31">
        <v>89.745000000000005</v>
      </c>
      <c r="G256" s="33">
        <v>1291.82</v>
      </c>
      <c r="H256" s="33">
        <v>42.36</v>
      </c>
      <c r="I256" s="33">
        <v>236.2</v>
      </c>
      <c r="J256" s="33">
        <v>187.06899999999999</v>
      </c>
      <c r="K256" s="33"/>
      <c r="L256" s="33">
        <v>9612.3430000000008</v>
      </c>
      <c r="M256" s="33"/>
      <c r="N256" s="33"/>
      <c r="P256" s="33">
        <v>21594.252</v>
      </c>
    </row>
    <row r="257" spans="1:16" x14ac:dyDescent="0.25">
      <c r="A257" s="78">
        <v>44136</v>
      </c>
      <c r="B257" s="31">
        <v>2891.1750000000002</v>
      </c>
      <c r="C257" s="33">
        <v>5245.73</v>
      </c>
      <c r="D257" s="33">
        <v>584.6</v>
      </c>
      <c r="E257" s="33">
        <v>307.55</v>
      </c>
      <c r="F257" s="31">
        <v>130.875</v>
      </c>
      <c r="G257" s="33">
        <v>1254.8393599999999</v>
      </c>
      <c r="H257" s="33">
        <v>30.36</v>
      </c>
      <c r="I257" s="33">
        <v>252.1</v>
      </c>
      <c r="J257" s="33">
        <v>134.53</v>
      </c>
      <c r="K257" s="33"/>
      <c r="L257" s="33">
        <v>9467.0300000000007</v>
      </c>
      <c r="M257" s="33"/>
      <c r="N257" s="33"/>
      <c r="P257" s="33">
        <v>20298.789360000002</v>
      </c>
    </row>
    <row r="258" spans="1:16" x14ac:dyDescent="0.25">
      <c r="A258" s="78">
        <v>44166</v>
      </c>
      <c r="B258" s="31">
        <v>3063.942</v>
      </c>
      <c r="C258" s="33">
        <v>5049.1000000000004</v>
      </c>
      <c r="D258" s="33">
        <v>567.29999999999995</v>
      </c>
      <c r="E258" s="33">
        <v>343.55</v>
      </c>
      <c r="F258" s="31">
        <v>180.97499999999999</v>
      </c>
      <c r="G258" s="33">
        <v>1277.48224</v>
      </c>
      <c r="H258" s="33">
        <v>0</v>
      </c>
      <c r="I258" s="33">
        <v>294</v>
      </c>
      <c r="J258" s="33">
        <v>99.474999999999994</v>
      </c>
      <c r="K258" s="33"/>
      <c r="L258" s="33">
        <v>10068.138999999999</v>
      </c>
      <c r="M258" s="33"/>
      <c r="N258" s="33"/>
      <c r="P258" s="33">
        <v>20943.963239999997</v>
      </c>
    </row>
    <row r="259" spans="1:16" s="117" customFormat="1" x14ac:dyDescent="0.25">
      <c r="A259" s="114">
        <v>44197</v>
      </c>
      <c r="B259" s="115">
        <v>2803.6260000000002</v>
      </c>
      <c r="C259" s="116">
        <v>4723.2</v>
      </c>
      <c r="D259" s="116">
        <v>569.1</v>
      </c>
      <c r="E259" s="116">
        <v>314.54000000000002</v>
      </c>
      <c r="F259" s="115">
        <v>106.77</v>
      </c>
      <c r="G259" s="116">
        <v>1109.58376</v>
      </c>
      <c r="H259" s="116">
        <v>0</v>
      </c>
      <c r="I259" s="116">
        <v>283.3</v>
      </c>
      <c r="J259" s="116">
        <v>180.56800000000001</v>
      </c>
      <c r="K259" s="116"/>
      <c r="L259" s="116">
        <v>10087.832</v>
      </c>
      <c r="M259" s="116"/>
      <c r="N259" s="116"/>
      <c r="P259" s="116">
        <f t="shared" ref="P259:P270" si="9">SUM(B259:L259)</f>
        <v>20178.519759999999</v>
      </c>
    </row>
    <row r="260" spans="1:16" x14ac:dyDescent="0.25">
      <c r="A260" s="78">
        <v>44228</v>
      </c>
      <c r="B260" s="31">
        <v>2125.326</v>
      </c>
      <c r="C260" s="33">
        <v>6830.59</v>
      </c>
      <c r="D260" s="33">
        <v>416.2</v>
      </c>
      <c r="E260" s="33">
        <v>159.12</v>
      </c>
      <c r="F260" s="31">
        <v>105.42</v>
      </c>
      <c r="G260" s="33">
        <v>1048.0648000000001</v>
      </c>
      <c r="H260" s="33">
        <v>0</v>
      </c>
      <c r="I260" s="33">
        <v>255.3</v>
      </c>
      <c r="J260" s="33">
        <v>158.024</v>
      </c>
      <c r="K260" s="33"/>
      <c r="L260" s="33">
        <v>8207.0665000000008</v>
      </c>
      <c r="M260" s="33"/>
      <c r="N260" s="33"/>
      <c r="P260" s="116">
        <f t="shared" si="9"/>
        <v>19305.111300000004</v>
      </c>
    </row>
    <row r="261" spans="1:16" x14ac:dyDescent="0.25">
      <c r="A261" s="78">
        <v>44256</v>
      </c>
      <c r="B261" s="31">
        <v>2990.2109999999998</v>
      </c>
      <c r="C261" s="33">
        <v>8603.33</v>
      </c>
      <c r="D261" s="33">
        <v>363.6</v>
      </c>
      <c r="E261" s="33">
        <v>341.35</v>
      </c>
      <c r="F261" s="31">
        <v>108.075</v>
      </c>
      <c r="G261" s="33">
        <v>1244.8589999999999</v>
      </c>
      <c r="H261" s="33">
        <v>0</v>
      </c>
      <c r="I261" s="33">
        <v>195</v>
      </c>
      <c r="J261" s="33">
        <v>209.38499999999999</v>
      </c>
      <c r="K261" s="33"/>
      <c r="L261" s="33">
        <v>6874.857</v>
      </c>
      <c r="M261" s="33"/>
      <c r="N261" s="33"/>
      <c r="P261" s="116">
        <f t="shared" si="9"/>
        <v>20930.667000000001</v>
      </c>
    </row>
    <row r="262" spans="1:16" x14ac:dyDescent="0.25">
      <c r="A262" s="78">
        <v>44287</v>
      </c>
      <c r="B262" s="31">
        <v>3055.0169999999998</v>
      </c>
      <c r="C262" s="33">
        <v>6729.9</v>
      </c>
      <c r="D262" s="33">
        <v>288.60000000000002</v>
      </c>
      <c r="E262" s="33">
        <v>318.98</v>
      </c>
      <c r="F262" s="31">
        <v>0</v>
      </c>
      <c r="G262" s="33">
        <v>1070.3586399999999</v>
      </c>
      <c r="H262" s="33">
        <v>0</v>
      </c>
      <c r="I262" s="33">
        <v>89.7</v>
      </c>
      <c r="J262" s="33">
        <v>202.37799999999999</v>
      </c>
      <c r="K262" s="33"/>
      <c r="L262" s="33">
        <v>7828.0375000000004</v>
      </c>
      <c r="M262" s="33"/>
      <c r="N262" s="33"/>
      <c r="P262" s="116">
        <f t="shared" si="9"/>
        <v>19582.971140000001</v>
      </c>
    </row>
    <row r="263" spans="1:16" x14ac:dyDescent="0.25">
      <c r="A263" s="78">
        <v>44317</v>
      </c>
      <c r="B263" s="31">
        <v>3343.116</v>
      </c>
      <c r="C263" s="33">
        <v>7228.5</v>
      </c>
      <c r="D263" s="33">
        <v>300.5</v>
      </c>
      <c r="E263" s="33">
        <v>307.77</v>
      </c>
      <c r="F263" s="31">
        <v>0</v>
      </c>
      <c r="G263" s="33">
        <v>1170.3871200000001</v>
      </c>
      <c r="H263" s="33">
        <v>0</v>
      </c>
      <c r="I263" s="33">
        <v>271.60000000000002</v>
      </c>
      <c r="J263" s="33">
        <v>267.28699999999998</v>
      </c>
      <c r="K263" s="33"/>
      <c r="L263" s="33">
        <v>6794.2365</v>
      </c>
      <c r="M263" s="33"/>
      <c r="N263" s="33"/>
      <c r="P263" s="116">
        <f t="shared" si="9"/>
        <v>19683.39662</v>
      </c>
    </row>
    <row r="264" spans="1:16" x14ac:dyDescent="0.25">
      <c r="A264" s="78">
        <v>44348</v>
      </c>
      <c r="B264" s="31">
        <v>2252.25</v>
      </c>
      <c r="C264" s="33">
        <v>6049.4</v>
      </c>
      <c r="D264" s="33">
        <v>261.7</v>
      </c>
      <c r="E264" s="33">
        <v>328.48</v>
      </c>
      <c r="F264" s="31">
        <v>0</v>
      </c>
      <c r="G264" s="33">
        <v>1178.3436799999999</v>
      </c>
      <c r="H264" s="33">
        <v>31.08</v>
      </c>
      <c r="I264" s="33">
        <v>283</v>
      </c>
      <c r="J264" s="33">
        <v>129.73500000000001</v>
      </c>
      <c r="K264" s="33"/>
      <c r="L264" s="33">
        <v>10179.791999999999</v>
      </c>
      <c r="M264" s="33"/>
      <c r="N264" s="33"/>
      <c r="P264" s="116">
        <f t="shared" si="9"/>
        <v>20693.78068</v>
      </c>
    </row>
    <row r="265" spans="1:16" x14ac:dyDescent="0.25">
      <c r="A265" s="78">
        <v>44378</v>
      </c>
      <c r="B265" s="31">
        <v>1931.2139999999999</v>
      </c>
      <c r="C265" s="33">
        <v>6077.52</v>
      </c>
      <c r="D265" s="33">
        <v>334.2</v>
      </c>
      <c r="E265" s="33">
        <v>345.08</v>
      </c>
      <c r="F265" s="31">
        <v>44.024999999999999</v>
      </c>
      <c r="G265" s="33">
        <v>1451.71264</v>
      </c>
      <c r="H265" s="33">
        <v>48.36</v>
      </c>
      <c r="I265" s="33">
        <v>191</v>
      </c>
      <c r="J265" s="33">
        <v>206.78</v>
      </c>
      <c r="K265" s="33"/>
      <c r="L265" s="33">
        <v>10332.4185</v>
      </c>
      <c r="M265" s="33"/>
      <c r="N265" s="33"/>
      <c r="P265" s="116">
        <f t="shared" si="9"/>
        <v>20962.310140000001</v>
      </c>
    </row>
    <row r="266" spans="1:16" x14ac:dyDescent="0.25">
      <c r="A266" s="78">
        <v>44409</v>
      </c>
      <c r="B266" s="31">
        <v>1698.2909999999999</v>
      </c>
      <c r="C266" s="33">
        <v>6644.93</v>
      </c>
      <c r="D266" s="33">
        <v>328.9</v>
      </c>
      <c r="E266" s="33">
        <v>347.21</v>
      </c>
      <c r="F266" s="31">
        <v>107.52</v>
      </c>
      <c r="G266" s="33">
        <v>1666.3023999999998</v>
      </c>
      <c r="H266" s="33">
        <v>47.76</v>
      </c>
      <c r="I266" s="33">
        <v>225</v>
      </c>
      <c r="J266" s="33">
        <v>199.505</v>
      </c>
      <c r="K266" s="33"/>
      <c r="L266" s="33">
        <v>10693.0905</v>
      </c>
      <c r="M266" s="33"/>
      <c r="N266" s="33"/>
      <c r="P266" s="116">
        <f t="shared" si="9"/>
        <v>21958.508900000001</v>
      </c>
    </row>
    <row r="267" spans="1:16" x14ac:dyDescent="0.25">
      <c r="A267" s="78">
        <v>44440</v>
      </c>
      <c r="B267" s="31">
        <v>1774.038</v>
      </c>
      <c r="C267" s="33">
        <v>6609.5</v>
      </c>
      <c r="D267" s="33">
        <v>296.2</v>
      </c>
      <c r="E267" s="33">
        <v>33.222000000000001</v>
      </c>
      <c r="F267" s="31">
        <v>106.23</v>
      </c>
      <c r="G267" s="33">
        <v>1155.6936000000001</v>
      </c>
      <c r="H267" s="33">
        <v>45</v>
      </c>
      <c r="I267" s="33">
        <v>223</v>
      </c>
      <c r="J267" s="33">
        <v>172.51</v>
      </c>
      <c r="K267" s="33"/>
      <c r="L267" s="33">
        <v>11264.383</v>
      </c>
      <c r="M267" s="33"/>
      <c r="N267" s="33"/>
      <c r="P267" s="116">
        <f t="shared" si="9"/>
        <v>21679.776600000001</v>
      </c>
    </row>
    <row r="268" spans="1:16" x14ac:dyDescent="0.25">
      <c r="A268" s="78">
        <v>44470</v>
      </c>
      <c r="B268" s="31">
        <v>1935.2339999999999</v>
      </c>
      <c r="C268" s="33">
        <v>4873.82</v>
      </c>
      <c r="D268" s="33">
        <v>342.7</v>
      </c>
      <c r="E268" s="33">
        <v>316.23</v>
      </c>
      <c r="F268" s="31">
        <v>53.265000000000001</v>
      </c>
      <c r="G268" s="33">
        <v>1168.0819199999999</v>
      </c>
      <c r="H268" s="33">
        <v>41.64</v>
      </c>
      <c r="I268" s="33">
        <v>185</v>
      </c>
      <c r="J268" s="33">
        <v>159.75</v>
      </c>
      <c r="K268" s="33"/>
      <c r="L268" s="33">
        <v>11342.257</v>
      </c>
      <c r="M268" s="33"/>
      <c r="N268" s="33"/>
      <c r="P268" s="116">
        <f t="shared" si="9"/>
        <v>20417.977919999998</v>
      </c>
    </row>
    <row r="269" spans="1:16" x14ac:dyDescent="0.25">
      <c r="A269" s="78">
        <v>44501</v>
      </c>
      <c r="B269" s="31">
        <v>1572.921</v>
      </c>
      <c r="C269" s="33">
        <v>4279.8999999999996</v>
      </c>
      <c r="D269" s="33">
        <v>581.29999999999995</v>
      </c>
      <c r="E269" s="33">
        <v>316.25</v>
      </c>
      <c r="F269" s="31">
        <v>139.97999999999999</v>
      </c>
      <c r="G269" s="33">
        <v>1579.018</v>
      </c>
      <c r="H269" s="33">
        <v>46.92</v>
      </c>
      <c r="I269" s="33">
        <v>166</v>
      </c>
      <c r="J269" s="33">
        <v>193.75</v>
      </c>
      <c r="K269" s="33"/>
      <c r="L269" s="33">
        <v>12367.645</v>
      </c>
      <c r="M269" s="33"/>
      <c r="N269" s="33"/>
      <c r="P269" s="116">
        <f t="shared" si="9"/>
        <v>21243.684000000001</v>
      </c>
    </row>
    <row r="270" spans="1:16" x14ac:dyDescent="0.25">
      <c r="A270" s="78">
        <v>44531</v>
      </c>
      <c r="B270" s="31">
        <v>1880.55</v>
      </c>
      <c r="C270" s="33">
        <v>5279</v>
      </c>
      <c r="D270" s="33">
        <v>603.1</v>
      </c>
      <c r="E270" s="33">
        <v>313.76</v>
      </c>
      <c r="F270" s="31">
        <v>156.36000000000001</v>
      </c>
      <c r="G270" s="33">
        <v>1447.7511200000001</v>
      </c>
      <c r="H270" s="33">
        <v>45.72</v>
      </c>
      <c r="I270" s="33">
        <v>99</v>
      </c>
      <c r="J270" s="33">
        <v>213.57499999999999</v>
      </c>
      <c r="K270" s="33"/>
      <c r="L270" s="33">
        <v>12023.335999999999</v>
      </c>
      <c r="M270" s="33"/>
      <c r="N270" s="33"/>
      <c r="P270" s="116">
        <f t="shared" si="9"/>
        <v>22062.152119999999</v>
      </c>
    </row>
    <row r="271" spans="1:16" x14ac:dyDescent="0.25">
      <c r="A271" s="78">
        <v>44562</v>
      </c>
      <c r="B271" s="31">
        <v>2040.4860000000001</v>
      </c>
      <c r="C271" s="33">
        <v>5223.04</v>
      </c>
      <c r="D271" s="33">
        <v>557</v>
      </c>
      <c r="E271" s="33">
        <v>340.94</v>
      </c>
      <c r="F271" s="31">
        <v>174.54</v>
      </c>
      <c r="G271" s="33">
        <v>1435.0499199999999</v>
      </c>
      <c r="H271" s="33">
        <v>45.48</v>
      </c>
      <c r="I271" s="33">
        <v>134</v>
      </c>
      <c r="J271" s="33">
        <v>203.57599999999999</v>
      </c>
      <c r="K271" s="33"/>
      <c r="L271" s="33">
        <v>12755.682000000001</v>
      </c>
      <c r="M271" s="33">
        <v>802.7</v>
      </c>
      <c r="N271" s="33"/>
      <c r="P271" s="116">
        <v>23712.493919999997</v>
      </c>
    </row>
    <row r="272" spans="1:16" x14ac:dyDescent="0.25">
      <c r="A272" s="78">
        <v>44593</v>
      </c>
      <c r="B272" s="31">
        <v>2155.3980000000001</v>
      </c>
      <c r="C272" s="33">
        <v>7439.45</v>
      </c>
      <c r="D272" s="33">
        <v>518.4</v>
      </c>
      <c r="E272" s="33">
        <v>459.72</v>
      </c>
      <c r="F272" s="31">
        <v>165.54</v>
      </c>
      <c r="G272" s="33">
        <v>1284.518</v>
      </c>
      <c r="H272" s="33">
        <v>39.119999999999997</v>
      </c>
      <c r="I272" s="33">
        <v>183</v>
      </c>
      <c r="J272" s="33">
        <v>191.625</v>
      </c>
      <c r="K272" s="33"/>
      <c r="L272" s="33">
        <v>8052.0540000000001</v>
      </c>
      <c r="M272" s="33">
        <v>826</v>
      </c>
      <c r="N272" s="33"/>
      <c r="P272" s="116">
        <v>21314.825000000001</v>
      </c>
    </row>
    <row r="273" spans="1:16" x14ac:dyDescent="0.25">
      <c r="A273" s="78">
        <v>44621</v>
      </c>
      <c r="B273" s="31">
        <v>2735.7539999999999</v>
      </c>
      <c r="C273" s="33">
        <v>8071.5</v>
      </c>
      <c r="D273" s="33">
        <v>572.9</v>
      </c>
      <c r="E273" s="33">
        <v>523.67999999999995</v>
      </c>
      <c r="F273" s="31">
        <v>187.59</v>
      </c>
      <c r="G273" s="33">
        <v>1318.19264</v>
      </c>
      <c r="H273" s="33">
        <v>36.119999999999997</v>
      </c>
      <c r="I273" s="33">
        <v>207</v>
      </c>
      <c r="J273" s="33">
        <v>197.684</v>
      </c>
      <c r="K273" s="33"/>
      <c r="L273" s="33">
        <v>9911.5750000000007</v>
      </c>
      <c r="M273" s="33">
        <v>1139</v>
      </c>
      <c r="N273" s="33"/>
      <c r="P273" s="116">
        <v>24900.995640000001</v>
      </c>
    </row>
    <row r="274" spans="1:16" x14ac:dyDescent="0.25">
      <c r="A274" s="78">
        <v>44652</v>
      </c>
      <c r="B274" s="31">
        <v>2866.038</v>
      </c>
      <c r="C274" s="33">
        <v>6633.38</v>
      </c>
      <c r="D274" s="33">
        <v>479.1</v>
      </c>
      <c r="E274" s="33">
        <v>546.36</v>
      </c>
      <c r="F274" s="31">
        <v>167.46</v>
      </c>
      <c r="G274" s="33">
        <v>1093.809</v>
      </c>
      <c r="H274" s="33">
        <v>23.28</v>
      </c>
      <c r="I274" s="33">
        <v>149</v>
      </c>
      <c r="J274" s="33">
        <v>194.15100000000001</v>
      </c>
      <c r="K274" s="33"/>
      <c r="L274" s="33">
        <v>10034.3055</v>
      </c>
      <c r="M274" s="33">
        <v>1017</v>
      </c>
      <c r="N274" s="33"/>
      <c r="P274" s="116">
        <v>23203.8835</v>
      </c>
    </row>
    <row r="275" spans="1:16" x14ac:dyDescent="0.25">
      <c r="A275" s="78">
        <v>44682</v>
      </c>
      <c r="B275" s="31">
        <v>3813.7049999999999</v>
      </c>
      <c r="C275" s="33">
        <v>5588.73</v>
      </c>
      <c r="D275" s="33">
        <v>522.9</v>
      </c>
      <c r="E275" s="33">
        <v>573.57000000000005</v>
      </c>
      <c r="F275" s="31">
        <v>201.09</v>
      </c>
      <c r="G275" s="33">
        <v>777.15200000000004</v>
      </c>
      <c r="H275" s="33">
        <v>30.48</v>
      </c>
      <c r="I275" s="33">
        <v>138</v>
      </c>
      <c r="J275" s="33">
        <v>215.71199999999999</v>
      </c>
      <c r="K275" s="33">
        <v>1822.08</v>
      </c>
      <c r="L275" s="33">
        <v>9542.6424999999999</v>
      </c>
      <c r="M275" s="33">
        <v>1195</v>
      </c>
      <c r="N275" s="33"/>
      <c r="P275" s="116">
        <v>24421.061499999996</v>
      </c>
    </row>
    <row r="276" spans="1:16" x14ac:dyDescent="0.25">
      <c r="A276" s="78">
        <v>44713</v>
      </c>
      <c r="B276" s="31">
        <v>2544.864</v>
      </c>
      <c r="C276" s="33">
        <v>5812.21</v>
      </c>
      <c r="D276" s="33">
        <v>644.9</v>
      </c>
      <c r="E276" s="33">
        <v>331.08</v>
      </c>
      <c r="F276" s="31">
        <v>128.505</v>
      </c>
      <c r="G276" s="33">
        <v>849.04399999999998</v>
      </c>
      <c r="H276" s="33">
        <v>27.48</v>
      </c>
      <c r="I276" s="33">
        <v>137</v>
      </c>
      <c r="J276" s="33">
        <v>208.41</v>
      </c>
      <c r="K276" s="33">
        <v>2803.2</v>
      </c>
      <c r="L276" s="33">
        <v>10353.601500000001</v>
      </c>
      <c r="M276" s="33">
        <v>1201</v>
      </c>
      <c r="N276" s="33"/>
      <c r="P276" s="116">
        <v>25041.2945</v>
      </c>
    </row>
    <row r="277" spans="1:16" x14ac:dyDescent="0.25">
      <c r="A277" s="78">
        <v>44743</v>
      </c>
      <c r="B277" s="31">
        <v>2089.0590000000002</v>
      </c>
      <c r="C277" s="33">
        <v>3207.84</v>
      </c>
      <c r="D277" s="33">
        <v>641.5</v>
      </c>
      <c r="E277" s="33">
        <v>242.23</v>
      </c>
      <c r="F277" s="31">
        <v>55.53</v>
      </c>
      <c r="G277" s="33">
        <v>1378.0419999999999</v>
      </c>
      <c r="H277" s="33">
        <v>45.48</v>
      </c>
      <c r="I277" s="33">
        <v>134</v>
      </c>
      <c r="J277" s="33">
        <v>208.23500000000001</v>
      </c>
      <c r="K277" s="33">
        <v>5176.8599999999997</v>
      </c>
      <c r="L277" s="33">
        <v>9867.1311000000005</v>
      </c>
      <c r="M277" s="33">
        <v>1242</v>
      </c>
      <c r="N277" s="33"/>
      <c r="P277" s="116">
        <v>24287.907099999997</v>
      </c>
    </row>
    <row r="278" spans="1:16" x14ac:dyDescent="0.25">
      <c r="A278" s="78">
        <v>44774</v>
      </c>
      <c r="B278" s="31">
        <v>1945.6079999999999</v>
      </c>
      <c r="C278" s="33">
        <v>2694.72</v>
      </c>
      <c r="D278" s="33">
        <v>450.7</v>
      </c>
      <c r="E278" s="33">
        <v>215.97</v>
      </c>
      <c r="F278" s="31">
        <v>12.885</v>
      </c>
      <c r="G278" s="33">
        <v>1148.7329999999999</v>
      </c>
      <c r="H278" s="33">
        <v>18.600000000000001</v>
      </c>
      <c r="I278" s="33">
        <v>126</v>
      </c>
      <c r="J278" s="33">
        <v>152.76900000000001</v>
      </c>
      <c r="K278" s="33">
        <v>6813.3</v>
      </c>
      <c r="L278" s="33">
        <v>10446.09204</v>
      </c>
      <c r="M278" s="33">
        <v>1390.088</v>
      </c>
      <c r="N278" s="33"/>
      <c r="P278" s="116">
        <v>25415.465039999999</v>
      </c>
    </row>
    <row r="279" spans="1:16" x14ac:dyDescent="0.25">
      <c r="A279" s="78">
        <v>44805</v>
      </c>
      <c r="B279" s="31">
        <v>2219.1329999999998</v>
      </c>
      <c r="C279" s="33">
        <v>4495.72</v>
      </c>
      <c r="D279" s="33">
        <v>332.7</v>
      </c>
      <c r="E279" s="33">
        <v>275.74</v>
      </c>
      <c r="F279" s="31">
        <v>75.314999999999998</v>
      </c>
      <c r="G279" s="33">
        <v>1087.768</v>
      </c>
      <c r="H279" s="33">
        <v>7.5314999999999993E-2</v>
      </c>
      <c r="I279" s="33">
        <v>136</v>
      </c>
      <c r="J279" s="33">
        <v>190.23</v>
      </c>
      <c r="K279" s="33">
        <v>5856.78</v>
      </c>
      <c r="L279" s="33">
        <v>7407.5360199999996</v>
      </c>
      <c r="M279" s="33">
        <v>1190.309</v>
      </c>
      <c r="N279" s="33"/>
      <c r="P279" s="116">
        <v>23267.306335000001</v>
      </c>
    </row>
    <row r="280" spans="1:16" x14ac:dyDescent="0.25">
      <c r="A280" s="78">
        <v>44836</v>
      </c>
      <c r="B280" s="31">
        <v>1995.336</v>
      </c>
      <c r="C280" s="33">
        <v>2569.61</v>
      </c>
      <c r="D280" s="33">
        <v>321.5</v>
      </c>
      <c r="E280" s="33">
        <v>292.43</v>
      </c>
      <c r="F280" s="31">
        <v>27.434999999999999</v>
      </c>
      <c r="G280" s="33">
        <v>1193.5920000000001</v>
      </c>
      <c r="H280" s="33">
        <v>0</v>
      </c>
      <c r="I280" s="33">
        <v>134</v>
      </c>
      <c r="J280" s="33">
        <v>178.67</v>
      </c>
      <c r="K280" s="33">
        <v>5730.2780000000002</v>
      </c>
      <c r="L280" s="33">
        <v>9512.0591199999999</v>
      </c>
      <c r="M280" s="33">
        <v>1223</v>
      </c>
      <c r="N280" s="33"/>
      <c r="P280" s="116">
        <v>23177.91012</v>
      </c>
    </row>
    <row r="281" spans="1:16" x14ac:dyDescent="0.25">
      <c r="A281" s="125">
        <v>44868</v>
      </c>
      <c r="B281" s="31">
        <v>2988.3</v>
      </c>
      <c r="C281" s="33">
        <v>4379.54</v>
      </c>
      <c r="D281" s="31">
        <v>283</v>
      </c>
      <c r="E281" s="33">
        <v>454.58</v>
      </c>
      <c r="F281" s="31">
        <v>84.135000000000005</v>
      </c>
      <c r="G281" s="33">
        <v>1452.434</v>
      </c>
      <c r="H281" s="31">
        <v>0</v>
      </c>
      <c r="I281" s="33">
        <v>120</v>
      </c>
      <c r="J281" s="33">
        <v>201.48500000000001</v>
      </c>
      <c r="K281" s="33">
        <v>7868.0439999999999</v>
      </c>
      <c r="L281" s="33">
        <v>6250.9370199999994</v>
      </c>
      <c r="M281" s="33">
        <v>897.46500000000003</v>
      </c>
      <c r="N281" s="33"/>
      <c r="P281" s="116">
        <v>24979.920020000001</v>
      </c>
    </row>
    <row r="282" spans="1:16" x14ac:dyDescent="0.25">
      <c r="A282" s="125">
        <v>44899</v>
      </c>
      <c r="B282" s="132">
        <v>3486</v>
      </c>
      <c r="C282" s="133">
        <v>5405</v>
      </c>
      <c r="D282" s="132">
        <v>261</v>
      </c>
      <c r="E282" s="133">
        <v>451</v>
      </c>
      <c r="F282" s="132">
        <v>182</v>
      </c>
      <c r="G282" s="133">
        <v>1535</v>
      </c>
      <c r="H282" s="132">
        <v>0</v>
      </c>
      <c r="I282" s="133">
        <v>135</v>
      </c>
      <c r="J282" s="133">
        <v>211</v>
      </c>
      <c r="K282" s="133">
        <v>9070</v>
      </c>
      <c r="L282" s="133">
        <v>3825</v>
      </c>
      <c r="M282" s="133">
        <v>888</v>
      </c>
      <c r="N282" s="133">
        <v>17</v>
      </c>
      <c r="P282" s="142">
        <v>25466</v>
      </c>
    </row>
    <row r="283" spans="1:16" x14ac:dyDescent="0.25">
      <c r="A283" s="125">
        <v>44930</v>
      </c>
      <c r="B283" s="132">
        <v>3304</v>
      </c>
      <c r="C283" s="133">
        <v>6440</v>
      </c>
      <c r="D283" s="132">
        <v>291</v>
      </c>
      <c r="E283" s="133">
        <v>498</v>
      </c>
      <c r="F283" s="132">
        <v>177</v>
      </c>
      <c r="G283" s="133">
        <v>1392</v>
      </c>
      <c r="H283" s="132">
        <v>0</v>
      </c>
      <c r="I283" s="133">
        <v>129</v>
      </c>
      <c r="J283" s="133">
        <v>179</v>
      </c>
      <c r="K283" s="133">
        <v>8747</v>
      </c>
      <c r="L283" s="133">
        <v>3737</v>
      </c>
      <c r="M283" s="133">
        <v>858</v>
      </c>
      <c r="N283" s="133">
        <v>62</v>
      </c>
      <c r="P283" s="142">
        <v>25815</v>
      </c>
    </row>
    <row r="284" spans="1:16" x14ac:dyDescent="0.25">
      <c r="A284" s="125">
        <v>44961</v>
      </c>
      <c r="B284" s="132">
        <v>3485</v>
      </c>
      <c r="C284" s="133">
        <v>6022</v>
      </c>
      <c r="D284" s="132">
        <v>257</v>
      </c>
      <c r="E284" s="133">
        <v>432</v>
      </c>
      <c r="F284" s="132">
        <v>173</v>
      </c>
      <c r="G284" s="133">
        <v>894</v>
      </c>
      <c r="H284" s="132">
        <v>19</v>
      </c>
      <c r="I284" s="133">
        <v>118</v>
      </c>
      <c r="J284" s="133">
        <v>186</v>
      </c>
      <c r="K284" s="133">
        <v>8048</v>
      </c>
      <c r="L284" s="133">
        <v>5023</v>
      </c>
      <c r="M284" s="133">
        <v>861</v>
      </c>
      <c r="N284" s="133">
        <v>80</v>
      </c>
      <c r="P284" s="142">
        <v>25600</v>
      </c>
    </row>
    <row r="285" spans="1:16" s="144" customFormat="1" x14ac:dyDescent="0.25">
      <c r="A285" s="125">
        <v>44990</v>
      </c>
      <c r="B285" s="132">
        <v>3382.5749999999998</v>
      </c>
      <c r="C285" s="133">
        <v>8175.15</v>
      </c>
      <c r="D285" s="132">
        <v>260</v>
      </c>
      <c r="E285" s="133">
        <v>512.6</v>
      </c>
      <c r="F285" s="132">
        <v>156.69</v>
      </c>
      <c r="G285" s="133">
        <v>774.43899999999996</v>
      </c>
      <c r="H285" s="132">
        <v>43.44</v>
      </c>
      <c r="I285" s="133">
        <v>107</v>
      </c>
      <c r="J285" s="133">
        <v>203.67</v>
      </c>
      <c r="K285" s="133">
        <v>8643.0959999999995</v>
      </c>
      <c r="L285" s="133">
        <v>4707.8137200000001</v>
      </c>
      <c r="M285" s="133">
        <v>1135</v>
      </c>
      <c r="N285" s="133">
        <v>81.424999999999997</v>
      </c>
      <c r="P285" s="142">
        <v>28182.898720000001</v>
      </c>
    </row>
    <row r="286" spans="1:16" x14ac:dyDescent="0.25">
      <c r="A286" s="125">
        <v>45019</v>
      </c>
      <c r="B286" s="132">
        <v>4221</v>
      </c>
      <c r="C286" s="133">
        <v>8177</v>
      </c>
      <c r="D286" s="132">
        <v>0</v>
      </c>
      <c r="E286" s="133">
        <v>407</v>
      </c>
      <c r="F286" s="132">
        <v>155</v>
      </c>
      <c r="G286" s="133">
        <v>725</v>
      </c>
      <c r="H286" s="132">
        <v>31</v>
      </c>
      <c r="I286" s="133">
        <v>108</v>
      </c>
      <c r="J286" s="133">
        <v>38</v>
      </c>
      <c r="K286" s="133">
        <v>8193</v>
      </c>
      <c r="L286" s="133">
        <v>4226</v>
      </c>
      <c r="M286" s="133">
        <v>1098</v>
      </c>
      <c r="N286" s="133">
        <v>36</v>
      </c>
      <c r="P286" s="142">
        <v>27414</v>
      </c>
    </row>
    <row r="287" spans="1:16" s="144" customFormat="1" x14ac:dyDescent="0.25">
      <c r="A287" s="125">
        <v>45048</v>
      </c>
      <c r="B287" s="132">
        <v>4117</v>
      </c>
      <c r="C287" s="133">
        <v>8167</v>
      </c>
      <c r="D287" s="132">
        <v>0</v>
      </c>
      <c r="E287" s="133">
        <v>501</v>
      </c>
      <c r="F287" s="132">
        <v>207</v>
      </c>
      <c r="G287" s="133">
        <v>1200</v>
      </c>
      <c r="H287" s="132">
        <v>48</v>
      </c>
      <c r="I287" s="133">
        <v>135</v>
      </c>
      <c r="J287" s="133">
        <v>0</v>
      </c>
      <c r="K287" s="133">
        <v>8808</v>
      </c>
      <c r="L287" s="133">
        <v>5552</v>
      </c>
      <c r="M287" s="133">
        <v>1227</v>
      </c>
      <c r="N287" s="133">
        <v>36</v>
      </c>
      <c r="P287" s="142">
        <v>29998</v>
      </c>
    </row>
    <row r="288" spans="1:16" s="144" customFormat="1" x14ac:dyDescent="0.25">
      <c r="A288" s="125">
        <v>45080</v>
      </c>
      <c r="B288" s="132">
        <v>3428.0819999999999</v>
      </c>
      <c r="C288" s="133">
        <v>7844.52</v>
      </c>
      <c r="D288" s="132">
        <v>190.1</v>
      </c>
      <c r="E288" s="133">
        <v>463.2</v>
      </c>
      <c r="F288" s="132">
        <v>173.715</v>
      </c>
      <c r="G288" s="133">
        <v>1182.018</v>
      </c>
      <c r="H288" s="132">
        <v>16.440000000000001</v>
      </c>
      <c r="I288" s="133">
        <v>144</v>
      </c>
      <c r="J288" s="133">
        <v>0</v>
      </c>
      <c r="K288" s="133">
        <v>8430.6090000000004</v>
      </c>
      <c r="L288" s="133">
        <v>5205.6278600000005</v>
      </c>
      <c r="M288" s="133">
        <v>1308</v>
      </c>
      <c r="N288" s="133">
        <v>85.738</v>
      </c>
      <c r="P288" s="142">
        <v>28472.049860000003</v>
      </c>
    </row>
    <row r="289" spans="1:17" s="144" customFormat="1" x14ac:dyDescent="0.25">
      <c r="A289" s="125">
        <v>45111</v>
      </c>
      <c r="B289" s="132">
        <v>2666.7060000000001</v>
      </c>
      <c r="C289" s="133">
        <v>9081.8799999999992</v>
      </c>
      <c r="D289" s="132">
        <v>342.8</v>
      </c>
      <c r="E289" s="133">
        <v>351.33</v>
      </c>
      <c r="F289" s="132">
        <v>54.27</v>
      </c>
      <c r="G289" s="133">
        <v>1049.069</v>
      </c>
      <c r="H289" s="132">
        <v>0</v>
      </c>
      <c r="I289" s="133">
        <v>137</v>
      </c>
      <c r="J289" s="133">
        <v>17.585000000000001</v>
      </c>
      <c r="K289" s="133">
        <v>8718.8970000000008</v>
      </c>
      <c r="L289" s="133">
        <v>2403.4249199999999</v>
      </c>
      <c r="M289" s="133">
        <v>976</v>
      </c>
      <c r="N289" s="133">
        <v>204.774</v>
      </c>
      <c r="P289" s="142">
        <v>26003.735919999999</v>
      </c>
    </row>
    <row r="290" spans="1:17" s="144" customFormat="1" x14ac:dyDescent="0.25">
      <c r="A290" s="125">
        <v>45143</v>
      </c>
      <c r="B290" s="132">
        <v>2080.0079999999998</v>
      </c>
      <c r="C290" s="133">
        <v>5477.04</v>
      </c>
      <c r="D290" s="132">
        <v>341.8</v>
      </c>
      <c r="E290" s="133">
        <v>292.48</v>
      </c>
      <c r="F290" s="132">
        <v>65.984999999999999</v>
      </c>
      <c r="G290" s="133">
        <v>1008.192</v>
      </c>
      <c r="H290" s="165">
        <v>12</v>
      </c>
      <c r="I290" s="133">
        <v>139</v>
      </c>
      <c r="J290" s="133">
        <v>205.08500000000001</v>
      </c>
      <c r="K290" s="133">
        <v>7990.8190000000004</v>
      </c>
      <c r="L290" s="133">
        <v>8759.9850000000006</v>
      </c>
      <c r="M290" s="133">
        <v>1262</v>
      </c>
      <c r="N290" s="133">
        <v>140.024</v>
      </c>
      <c r="P290" s="142">
        <v>27774.418000000001</v>
      </c>
    </row>
    <row r="291" spans="1:17" s="144" customFormat="1" x14ac:dyDescent="0.25">
      <c r="A291" s="125">
        <v>45175</v>
      </c>
      <c r="B291" s="164">
        <v>2571.366</v>
      </c>
      <c r="C291" s="165">
        <v>4379.74</v>
      </c>
      <c r="D291" s="164">
        <v>302.60000000000002</v>
      </c>
      <c r="E291" s="165">
        <v>249.62</v>
      </c>
      <c r="F291" s="164">
        <v>149.20500000000001</v>
      </c>
      <c r="G291" s="165">
        <v>2017.7670000000001</v>
      </c>
      <c r="H291" s="165">
        <v>12.36</v>
      </c>
      <c r="I291" s="165">
        <v>119</v>
      </c>
      <c r="J291" s="165">
        <v>180.77</v>
      </c>
      <c r="K291" s="165">
        <v>7130.39</v>
      </c>
      <c r="L291" s="165">
        <v>9409.4740000000002</v>
      </c>
      <c r="M291" s="165">
        <v>1041</v>
      </c>
      <c r="N291" s="165">
        <v>164.74799999999999</v>
      </c>
      <c r="P291" s="165">
        <v>27728.04</v>
      </c>
    </row>
    <row r="292" spans="1:17" s="144" customFormat="1" x14ac:dyDescent="0.25">
      <c r="A292" s="125">
        <v>45206</v>
      </c>
      <c r="B292" s="164">
        <v>2263.6840000000002</v>
      </c>
      <c r="C292" s="165">
        <v>4492.6899999999996</v>
      </c>
      <c r="D292" s="164">
        <v>386.3</v>
      </c>
      <c r="E292" s="165">
        <v>478.12</v>
      </c>
      <c r="F292" s="164">
        <v>111.13500000000001</v>
      </c>
      <c r="G292" s="165">
        <v>1203.742</v>
      </c>
      <c r="H292" s="165">
        <v>11.88</v>
      </c>
      <c r="I292" s="165">
        <v>137</v>
      </c>
      <c r="J292" s="165">
        <v>206.66499999999999</v>
      </c>
      <c r="K292" s="165">
        <v>7468.07</v>
      </c>
      <c r="L292" s="165">
        <v>9075.884</v>
      </c>
      <c r="M292" s="165">
        <v>1000</v>
      </c>
      <c r="N292" s="165">
        <v>261.18700000000001</v>
      </c>
      <c r="P292" s="165">
        <v>27096.357</v>
      </c>
    </row>
    <row r="293" spans="1:17" s="144" customFormat="1" x14ac:dyDescent="0.25">
      <c r="A293" s="125">
        <v>45237</v>
      </c>
      <c r="B293" s="164">
        <v>2583.1080000000002</v>
      </c>
      <c r="C293" s="165">
        <v>4889.18</v>
      </c>
      <c r="D293" s="164">
        <v>418.5</v>
      </c>
      <c r="E293" s="165">
        <v>538.01</v>
      </c>
      <c r="F293" s="164">
        <v>179.565</v>
      </c>
      <c r="G293" s="165">
        <v>1053.7619999999999</v>
      </c>
      <c r="H293" s="165">
        <v>11.76</v>
      </c>
      <c r="I293" s="165">
        <v>141</v>
      </c>
      <c r="J293" s="165">
        <v>92.26</v>
      </c>
      <c r="K293" s="165">
        <v>8376.2780000000002</v>
      </c>
      <c r="L293" s="165">
        <v>2775.3449999999998</v>
      </c>
      <c r="M293" s="165">
        <v>881</v>
      </c>
      <c r="N293" s="165">
        <v>207.59100000000001</v>
      </c>
      <c r="O293" s="165">
        <v>8228.44</v>
      </c>
      <c r="P293" s="165">
        <v>30375.799000000006</v>
      </c>
    </row>
    <row r="294" spans="1:17" x14ac:dyDescent="0.25">
      <c r="A294" s="125">
        <v>45268</v>
      </c>
      <c r="B294" s="32">
        <v>2562.5880000000002</v>
      </c>
      <c r="C294" s="165">
        <v>6492.19</v>
      </c>
      <c r="D294" s="165">
        <v>292.7</v>
      </c>
      <c r="E294" s="165">
        <v>518.87</v>
      </c>
      <c r="F294" s="165">
        <v>225.73500000000001</v>
      </c>
      <c r="G294" s="165">
        <v>1079.7850000000001</v>
      </c>
      <c r="H294" s="165">
        <v>9.48</v>
      </c>
      <c r="I294" s="165">
        <v>138</v>
      </c>
      <c r="J294" s="165">
        <v>0</v>
      </c>
      <c r="K294" s="165">
        <v>8804.7790000000005</v>
      </c>
      <c r="L294" s="165">
        <v>0</v>
      </c>
      <c r="M294" s="165">
        <v>818</v>
      </c>
      <c r="N294" s="165">
        <v>129.04499999999999</v>
      </c>
      <c r="O294" s="172">
        <v>8202.2659999999996</v>
      </c>
      <c r="P294" s="30">
        <v>29273.437999999998</v>
      </c>
    </row>
    <row r="295" spans="1:17" s="144" customFormat="1" x14ac:dyDescent="0.25">
      <c r="A295" s="125">
        <v>45295</v>
      </c>
      <c r="B295" s="32">
        <v>3370.68</v>
      </c>
      <c r="C295" s="32">
        <v>9091.4500000000007</v>
      </c>
      <c r="D295" s="32">
        <v>261.89999999999998</v>
      </c>
      <c r="E295" s="32">
        <v>561</v>
      </c>
      <c r="F295" s="32">
        <v>198.58500000000001</v>
      </c>
      <c r="G295" s="32">
        <v>1921.864</v>
      </c>
      <c r="H295" s="32">
        <v>0</v>
      </c>
      <c r="I295" s="32">
        <v>117</v>
      </c>
      <c r="J295" s="32">
        <v>0</v>
      </c>
      <c r="K295" s="32">
        <v>9040.1470000000008</v>
      </c>
      <c r="L295" s="32">
        <v>0</v>
      </c>
      <c r="M295" s="32">
        <v>763</v>
      </c>
      <c r="N295" s="32">
        <v>260.60199999999998</v>
      </c>
      <c r="O295" s="32">
        <v>5692.36</v>
      </c>
      <c r="P295" s="171">
        <v>31278.588</v>
      </c>
    </row>
    <row r="296" spans="1:17" s="144" customFormat="1" x14ac:dyDescent="0.25">
      <c r="A296" s="125">
        <v>45327</v>
      </c>
      <c r="B296" s="32">
        <v>3173.76</v>
      </c>
      <c r="C296" s="32">
        <v>9141.5400000000009</v>
      </c>
      <c r="D296" s="32">
        <v>264.8</v>
      </c>
      <c r="E296" s="32">
        <v>432.23</v>
      </c>
      <c r="F296" s="32">
        <v>220.875</v>
      </c>
      <c r="G296" s="32">
        <v>2597.6909999999998</v>
      </c>
      <c r="H296" s="32">
        <v>0</v>
      </c>
      <c r="I296" s="32">
        <v>137</v>
      </c>
      <c r="J296" s="32">
        <v>0</v>
      </c>
      <c r="K296" s="32">
        <v>8435.4480000000003</v>
      </c>
      <c r="L296" s="32">
        <v>0</v>
      </c>
      <c r="M296" s="32">
        <v>986</v>
      </c>
      <c r="N296" s="32">
        <v>180.80500000000001</v>
      </c>
      <c r="O296" s="32">
        <v>4462.26</v>
      </c>
      <c r="P296" s="171">
        <v>30032.409</v>
      </c>
    </row>
    <row r="297" spans="1:17" s="144" customFormat="1" x14ac:dyDescent="0.25">
      <c r="A297" s="125">
        <v>45357</v>
      </c>
      <c r="B297" s="32">
        <v>3477.8519999999999</v>
      </c>
      <c r="C297" s="32">
        <v>8024.73</v>
      </c>
      <c r="D297" s="32">
        <v>278.60000000000002</v>
      </c>
      <c r="E297" s="32">
        <v>534.96</v>
      </c>
      <c r="F297" s="32">
        <v>236.565</v>
      </c>
      <c r="G297" s="32">
        <v>1056.76</v>
      </c>
      <c r="H297" s="32">
        <v>0</v>
      </c>
      <c r="I297" s="32">
        <v>119</v>
      </c>
      <c r="J297" s="32">
        <v>0</v>
      </c>
      <c r="K297" s="32">
        <v>9047.1020000000008</v>
      </c>
      <c r="L297" s="32">
        <v>0</v>
      </c>
      <c r="M297" s="32">
        <v>902</v>
      </c>
      <c r="N297" s="32">
        <v>163.50299999999999</v>
      </c>
      <c r="O297" s="32">
        <v>8176.48</v>
      </c>
      <c r="P297" s="171">
        <v>32017.552000000003</v>
      </c>
    </row>
    <row r="298" spans="1:17" s="144" customFormat="1" x14ac:dyDescent="0.25">
      <c r="A298" s="180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171"/>
    </row>
    <row r="299" spans="1:17" x14ac:dyDescent="0.25">
      <c r="A299" s="78" t="s">
        <v>68</v>
      </c>
      <c r="B299" s="66"/>
      <c r="C299" s="66"/>
      <c r="D299" s="66"/>
      <c r="E299" s="66"/>
      <c r="F299" s="67"/>
      <c r="G299" s="66"/>
      <c r="H299" s="66"/>
      <c r="I299" s="66"/>
      <c r="J299" s="66"/>
      <c r="K299" s="66"/>
      <c r="L299" s="66"/>
      <c r="M299" s="66"/>
      <c r="N299" s="66"/>
      <c r="O299" s="152"/>
      <c r="P299" s="73"/>
      <c r="Q299" s="11"/>
    </row>
    <row r="300" spans="1:17" s="144" customFormat="1" x14ac:dyDescent="0.25">
      <c r="A300" s="29" t="s">
        <v>75</v>
      </c>
      <c r="B300" s="143"/>
      <c r="C300" s="143"/>
      <c r="D300" s="143"/>
      <c r="E300" s="143"/>
      <c r="F300" s="169"/>
      <c r="G300" s="143"/>
      <c r="H300" s="143"/>
      <c r="I300" s="143"/>
      <c r="J300" s="143"/>
      <c r="K300" s="143"/>
      <c r="L300" s="143"/>
      <c r="M300" s="143"/>
      <c r="N300" s="143"/>
      <c r="O300" s="143"/>
      <c r="P300" s="170"/>
      <c r="Q300" s="147"/>
    </row>
    <row r="301" spans="1:17" s="144" customFormat="1" x14ac:dyDescent="0.25">
      <c r="A301" s="29" t="s">
        <v>76</v>
      </c>
      <c r="B301" s="143"/>
      <c r="C301" s="143"/>
      <c r="D301" s="143"/>
      <c r="E301" s="143"/>
      <c r="F301" s="169"/>
      <c r="G301" s="143"/>
      <c r="H301" s="143"/>
      <c r="I301" s="143"/>
      <c r="J301" s="143"/>
      <c r="K301" s="143"/>
      <c r="L301" s="143"/>
      <c r="M301" s="143"/>
      <c r="N301" s="143"/>
      <c r="O301" s="143"/>
      <c r="P301" s="170"/>
      <c r="Q301" s="147"/>
    </row>
    <row r="302" spans="1:17" s="144" customFormat="1" x14ac:dyDescent="0.25">
      <c r="A302" s="29" t="s">
        <v>77</v>
      </c>
      <c r="B302" s="143"/>
      <c r="C302" s="143"/>
      <c r="D302" s="143"/>
      <c r="E302" s="143"/>
      <c r="F302" s="169"/>
      <c r="G302" s="143"/>
      <c r="H302" s="143"/>
      <c r="I302" s="143"/>
      <c r="J302" s="143"/>
      <c r="K302" s="143"/>
      <c r="L302" s="143"/>
      <c r="M302" s="143"/>
      <c r="N302" s="143"/>
      <c r="O302" s="143"/>
      <c r="P302" s="170"/>
      <c r="Q302" s="147"/>
    </row>
    <row r="303" spans="1:17" s="144" customFormat="1" x14ac:dyDescent="0.25">
      <c r="A303" s="168"/>
      <c r="B303" s="143"/>
      <c r="C303" s="143"/>
      <c r="D303" s="143"/>
      <c r="E303" s="143"/>
      <c r="F303" s="169"/>
      <c r="G303" s="143"/>
      <c r="H303" s="143"/>
      <c r="I303" s="143"/>
      <c r="J303" s="143"/>
      <c r="K303" s="143"/>
      <c r="L303" s="143"/>
      <c r="M303" s="143"/>
      <c r="N303" s="143"/>
      <c r="O303" s="143"/>
      <c r="P303" s="170"/>
      <c r="Q303" s="147"/>
    </row>
    <row r="304" spans="1:17" x14ac:dyDescent="0.25">
      <c r="A304" s="77" t="s">
        <v>12</v>
      </c>
      <c r="B304" s="24"/>
      <c r="C304" s="24"/>
      <c r="D304" s="24"/>
      <c r="E304" s="24"/>
      <c r="F304" s="24"/>
      <c r="G304" s="68"/>
      <c r="H304" s="68"/>
      <c r="I304" s="68"/>
      <c r="J304" s="68"/>
      <c r="K304" s="68"/>
      <c r="L304" s="68"/>
      <c r="M304" s="68"/>
      <c r="N304" s="68"/>
      <c r="O304" s="153"/>
      <c r="P304" s="25"/>
      <c r="Q304" s="11"/>
    </row>
    <row r="305" spans="1:17" x14ac:dyDescent="0.25">
      <c r="A305" s="26"/>
      <c r="B305" s="27"/>
      <c r="C305" s="27"/>
      <c r="D305" s="69"/>
      <c r="E305" s="70"/>
      <c r="F305" s="69"/>
      <c r="G305" s="69"/>
      <c r="H305" s="69"/>
      <c r="I305" s="69"/>
      <c r="J305" s="69"/>
      <c r="K305" s="69"/>
      <c r="L305" s="69"/>
      <c r="M305" s="69"/>
      <c r="N305" s="69"/>
      <c r="O305" s="154"/>
      <c r="P305" s="71"/>
      <c r="Q305" s="14"/>
    </row>
    <row r="306" spans="1:17" x14ac:dyDescent="0.25">
      <c r="E306" s="3"/>
      <c r="P306" s="2"/>
    </row>
    <row r="307" spans="1:17" x14ac:dyDescent="0.25">
      <c r="B307" s="15"/>
      <c r="C307" s="11"/>
      <c r="D307" s="11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Q307" s="14"/>
    </row>
    <row r="308" spans="1:17" x14ac:dyDescent="0.25">
      <c r="B308" s="15"/>
      <c r="C308" s="11"/>
      <c r="D308" s="11"/>
      <c r="E308" s="16"/>
      <c r="F308" s="11"/>
      <c r="G308" s="15"/>
      <c r="H308" s="15"/>
      <c r="I308" s="15"/>
      <c r="J308" s="15"/>
      <c r="K308" s="15"/>
      <c r="L308" s="15"/>
      <c r="M308" s="15"/>
      <c r="N308" s="15"/>
    </row>
    <row r="309" spans="1:17" x14ac:dyDescent="0.25">
      <c r="D309" s="76"/>
      <c r="E309" s="3"/>
      <c r="F309" s="14"/>
      <c r="G309" s="9"/>
      <c r="H309" s="11"/>
      <c r="I309" s="11"/>
      <c r="J309" s="11"/>
      <c r="K309" s="11"/>
      <c r="L309" s="11"/>
      <c r="M309" s="11"/>
      <c r="N309" s="11"/>
      <c r="P309" s="3"/>
    </row>
    <row r="310" spans="1:17" x14ac:dyDescent="0.25">
      <c r="C310" s="10"/>
      <c r="D310" s="76"/>
      <c r="E310" s="3"/>
      <c r="F310" s="15"/>
      <c r="G310" s="10"/>
      <c r="P310" s="13"/>
    </row>
    <row r="311" spans="1:17" x14ac:dyDescent="0.25">
      <c r="C311" s="7"/>
      <c r="D311" s="7"/>
      <c r="E311" s="20"/>
      <c r="F311" s="7"/>
      <c r="G311" s="17"/>
      <c r="H311" s="12"/>
      <c r="I311" s="12"/>
      <c r="J311" s="12"/>
      <c r="K311" s="12"/>
      <c r="L311" s="12"/>
      <c r="M311" s="12"/>
      <c r="N311" s="12"/>
      <c r="P311" s="20"/>
    </row>
    <row r="312" spans="1:17" x14ac:dyDescent="0.25">
      <c r="C312" s="7"/>
      <c r="D312" s="7"/>
      <c r="E312" s="21"/>
      <c r="F312" s="7"/>
      <c r="G312" s="7"/>
      <c r="H312" s="7"/>
      <c r="I312" s="7"/>
      <c r="J312" s="7"/>
      <c r="K312" s="7"/>
      <c r="L312" s="75"/>
      <c r="M312" s="75"/>
      <c r="N312" s="75"/>
      <c r="P312" s="74"/>
    </row>
    <row r="313" spans="1:17" x14ac:dyDescent="0.25">
      <c r="C313" s="23"/>
      <c r="D313" s="7"/>
      <c r="E313" s="20"/>
      <c r="F313" s="7"/>
      <c r="G313" s="7"/>
      <c r="H313" s="7"/>
      <c r="I313" s="7"/>
      <c r="J313" s="7"/>
      <c r="K313" s="7"/>
      <c r="L313" s="7"/>
      <c r="M313" s="7"/>
      <c r="N313" s="7"/>
      <c r="P313" s="22"/>
    </row>
    <row r="314" spans="1:17" x14ac:dyDescent="0.25"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P314" s="7"/>
    </row>
    <row r="315" spans="1:17" x14ac:dyDescent="0.25"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P315" s="7"/>
    </row>
    <row r="316" spans="1:17" x14ac:dyDescent="0.25"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P316" s="7"/>
    </row>
    <row r="318" spans="1:17" x14ac:dyDescent="0.25">
      <c r="C318" s="19"/>
      <c r="D318" s="11"/>
    </row>
    <row r="319" spans="1:17" x14ac:dyDescent="0.25">
      <c r="C319" s="11"/>
    </row>
  </sheetData>
  <hyperlinks>
    <hyperlink ref="A1" location="Table_of_Contents!A1" display="Back to the table of content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Q121"/>
  <sheetViews>
    <sheetView workbookViewId="0">
      <pane xSplit="1" ySplit="6" topLeftCell="G97" activePane="bottomRight" state="frozen"/>
      <selection pane="topRight" activeCell="B1" sqref="B1"/>
      <selection pane="bottomLeft" activeCell="A7" sqref="A7"/>
      <selection pane="bottomRight" activeCell="I113" sqref="I113"/>
    </sheetView>
  </sheetViews>
  <sheetFormatPr baseColWidth="10" defaultColWidth="21.6640625" defaultRowHeight="15.75" x14ac:dyDescent="0.25"/>
  <cols>
    <col min="1" max="1" width="14.33203125" customWidth="1"/>
    <col min="2" max="2" width="13.21875" customWidth="1"/>
    <col min="3" max="3" width="13.44140625" customWidth="1"/>
    <col min="4" max="4" width="13.109375" customWidth="1"/>
    <col min="5" max="5" width="12.21875" customWidth="1"/>
    <col min="6" max="6" width="13.21875" customWidth="1"/>
    <col min="7" max="7" width="14" customWidth="1"/>
    <col min="8" max="11" width="12.6640625" customWidth="1"/>
    <col min="12" max="12" width="19.109375" bestFit="1" customWidth="1"/>
    <col min="13" max="13" width="14.33203125" customWidth="1"/>
    <col min="14" max="14" width="14.33203125" style="126" customWidth="1"/>
    <col min="15" max="15" width="14.33203125" style="144" customWidth="1"/>
    <col min="16" max="16" width="12.6640625" customWidth="1"/>
    <col min="17" max="17" width="14.21875" customWidth="1"/>
  </cols>
  <sheetData>
    <row r="1" spans="1:17" x14ac:dyDescent="0.25">
      <c r="A1" s="100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7"/>
      <c r="O1" s="145"/>
      <c r="P1" s="5"/>
      <c r="Q1" s="1"/>
    </row>
    <row r="2" spans="1:17" x14ac:dyDescent="0.25">
      <c r="A2" s="6" t="s">
        <v>19</v>
      </c>
      <c r="B2" s="7"/>
      <c r="C2" s="7"/>
      <c r="D2" s="18"/>
      <c r="E2" s="7"/>
      <c r="F2" s="7"/>
      <c r="G2" s="7"/>
      <c r="H2" s="7"/>
      <c r="I2" s="7"/>
      <c r="J2" s="7"/>
      <c r="K2" s="7"/>
      <c r="L2" s="7"/>
      <c r="M2" s="7"/>
      <c r="N2" s="128"/>
      <c r="O2" s="146"/>
      <c r="P2" s="8"/>
    </row>
    <row r="3" spans="1:17" x14ac:dyDescent="0.25">
      <c r="A3" s="104"/>
      <c r="B3" s="105"/>
      <c r="C3" s="105"/>
      <c r="D3" s="106"/>
      <c r="E3" s="105"/>
      <c r="F3" s="105"/>
      <c r="G3" s="107"/>
      <c r="H3" s="105"/>
      <c r="I3" s="105"/>
      <c r="J3" s="105"/>
      <c r="K3" s="105"/>
      <c r="L3" s="105"/>
      <c r="M3" s="105"/>
      <c r="N3" s="140"/>
      <c r="O3" s="160"/>
      <c r="P3" s="108" t="s">
        <v>36</v>
      </c>
    </row>
    <row r="4" spans="1:17" x14ac:dyDescent="0.25">
      <c r="A4" s="118" t="s">
        <v>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</row>
    <row r="5" spans="1:17" x14ac:dyDescent="0.25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6"/>
    </row>
    <row r="6" spans="1:17" x14ac:dyDescent="0.25">
      <c r="A6" s="101" t="s">
        <v>60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34</v>
      </c>
      <c r="G6" s="102" t="s">
        <v>4</v>
      </c>
      <c r="H6" s="102" t="s">
        <v>5</v>
      </c>
      <c r="I6" s="102" t="s">
        <v>37</v>
      </c>
      <c r="J6" s="102" t="s">
        <v>42</v>
      </c>
      <c r="K6" s="102" t="s">
        <v>69</v>
      </c>
      <c r="L6" s="102" t="s">
        <v>58</v>
      </c>
      <c r="M6" s="102" t="s">
        <v>67</v>
      </c>
      <c r="N6" s="159" t="s">
        <v>70</v>
      </c>
      <c r="O6" s="163" t="s">
        <v>71</v>
      </c>
      <c r="P6" s="102" t="s">
        <v>6</v>
      </c>
    </row>
    <row r="7" spans="1:17" x14ac:dyDescent="0.25">
      <c r="A7" s="78">
        <v>36586</v>
      </c>
      <c r="B7" s="35">
        <f>SUM(Monthly_Data!B7:B9)</f>
        <v>11473</v>
      </c>
      <c r="C7" s="35">
        <f>SUM(Monthly_Data!C7:C9)</f>
        <v>11473</v>
      </c>
      <c r="D7" s="35">
        <f>SUM(Monthly_Data!D7:D9)</f>
        <v>2403</v>
      </c>
      <c r="E7" s="35">
        <f>SUM(Monthly_Data!E7:E9)</f>
        <v>440</v>
      </c>
      <c r="F7" s="35">
        <f>SUM(Monthly_Data!F7:F9)</f>
        <v>324</v>
      </c>
      <c r="G7" s="35">
        <f>SUM(Monthly_Data!G7:G9)</f>
        <v>1643</v>
      </c>
      <c r="H7" s="35">
        <f>SUM(Monthly_Data!H7:H9)</f>
        <v>243</v>
      </c>
      <c r="I7" s="35">
        <f>SUM(Monthly_Data!I7:I9)</f>
        <v>0</v>
      </c>
      <c r="J7" s="35"/>
      <c r="K7" s="35"/>
      <c r="L7" s="35">
        <f>SUM(Monthly_Data!L7:L9)</f>
        <v>0</v>
      </c>
      <c r="M7" s="35"/>
      <c r="N7" s="134"/>
      <c r="O7" s="134"/>
      <c r="P7" s="35">
        <f>SUM(Monthly_Data!P7:P9)</f>
        <v>27999</v>
      </c>
    </row>
    <row r="8" spans="1:17" x14ac:dyDescent="0.25">
      <c r="A8" s="78">
        <v>36678</v>
      </c>
      <c r="B8" s="35">
        <f>SUM(Monthly_Data!B10:B12)</f>
        <v>14496</v>
      </c>
      <c r="C8" s="35">
        <f>SUM(Monthly_Data!C10:C12)</f>
        <v>14496</v>
      </c>
      <c r="D8" s="35">
        <f>SUM(Monthly_Data!D10:D12)</f>
        <v>1878</v>
      </c>
      <c r="E8" s="35">
        <f>SUM(Monthly_Data!E10:E12)</f>
        <v>487</v>
      </c>
      <c r="F8" s="35">
        <f>SUM(Monthly_Data!F10:F12)</f>
        <v>257</v>
      </c>
      <c r="G8" s="35">
        <f>SUM(Monthly_Data!G10:G12)</f>
        <v>1556</v>
      </c>
      <c r="H8" s="35">
        <f>SUM(Monthly_Data!H10:H12)</f>
        <v>224</v>
      </c>
      <c r="I8" s="35">
        <f>SUM(Monthly_Data!I10:I12)</f>
        <v>0</v>
      </c>
      <c r="J8" s="35"/>
      <c r="K8" s="35"/>
      <c r="L8" s="35">
        <f>SUM(Monthly_Data!L10:L12)</f>
        <v>0</v>
      </c>
      <c r="M8" s="35"/>
      <c r="N8" s="134"/>
      <c r="O8" s="134"/>
      <c r="P8" s="35">
        <f>SUM(Monthly_Data!P10:P12)</f>
        <v>33394</v>
      </c>
    </row>
    <row r="9" spans="1:17" x14ac:dyDescent="0.25">
      <c r="A9" s="78">
        <v>36770</v>
      </c>
      <c r="B9" s="35">
        <f>SUM(Monthly_Data!B13:B15)</f>
        <v>13149.9</v>
      </c>
      <c r="C9" s="35">
        <f>SUM(Monthly_Data!C13:C15)</f>
        <v>13149.9</v>
      </c>
      <c r="D9" s="35">
        <f>SUM(Monthly_Data!D13:D15)</f>
        <v>901.6400000000001</v>
      </c>
      <c r="E9" s="35">
        <f>SUM(Monthly_Data!E13:E15)</f>
        <v>337.08050000000003</v>
      </c>
      <c r="F9" s="35">
        <f>SUM(Monthly_Data!F13:F15)</f>
        <v>89.317000000000007</v>
      </c>
      <c r="G9" s="35">
        <f>SUM(Monthly_Data!G13:G15)</f>
        <v>924.19600000000014</v>
      </c>
      <c r="H9" s="35">
        <f>SUM(Monthly_Data!H13:H15)</f>
        <v>132.268</v>
      </c>
      <c r="I9" s="35">
        <f>SUM(Monthly_Data!I13:I15)</f>
        <v>0</v>
      </c>
      <c r="J9" s="35"/>
      <c r="K9" s="35"/>
      <c r="L9" s="35">
        <f>SUM(Monthly_Data!L13:L15)</f>
        <v>0</v>
      </c>
      <c r="M9" s="35"/>
      <c r="N9" s="134"/>
      <c r="O9" s="134"/>
      <c r="P9" s="35">
        <f>SUM(Monthly_Data!P13:P15)</f>
        <v>28684.301500000001</v>
      </c>
    </row>
    <row r="10" spans="1:17" x14ac:dyDescent="0.25">
      <c r="A10" s="78">
        <v>36861</v>
      </c>
      <c r="B10" s="35">
        <f>SUM(Monthly_Data!B16:B18)</f>
        <v>10197.1</v>
      </c>
      <c r="C10" s="35">
        <f>SUM(Monthly_Data!C16:C18)</f>
        <v>10197.1</v>
      </c>
      <c r="D10" s="35">
        <f>SUM(Monthly_Data!D16:D18)</f>
        <v>1022.3899999999999</v>
      </c>
      <c r="E10" s="35">
        <f>SUM(Monthly_Data!E16:E18)</f>
        <v>276.017</v>
      </c>
      <c r="F10" s="35">
        <f>SUM(Monthly_Data!F16:F18)</f>
        <v>131.904</v>
      </c>
      <c r="G10" s="35">
        <f>SUM(Monthly_Data!G16:G18)</f>
        <v>1274.403</v>
      </c>
      <c r="H10" s="35">
        <f>SUM(Monthly_Data!H16:H18)</f>
        <v>160.87800000000001</v>
      </c>
      <c r="I10" s="35">
        <f>SUM(Monthly_Data!I16:I18)</f>
        <v>0</v>
      </c>
      <c r="J10" s="35"/>
      <c r="K10" s="35"/>
      <c r="L10" s="35">
        <f>SUM(Monthly_Data!L16:L18)</f>
        <v>0</v>
      </c>
      <c r="M10" s="35"/>
      <c r="N10" s="134"/>
      <c r="O10" s="134"/>
      <c r="P10" s="35">
        <f>SUM(Monthly_Data!P16:P18)</f>
        <v>23259.792000000001</v>
      </c>
    </row>
    <row r="11" spans="1:17" x14ac:dyDescent="0.25">
      <c r="A11" s="78">
        <v>36951</v>
      </c>
      <c r="B11" s="35">
        <f>SUM(Monthly_Data!B19:B21)</f>
        <v>6682.0879999999997</v>
      </c>
      <c r="C11" s="35">
        <f>SUM(Monthly_Data!C19:C21)</f>
        <v>12495.5</v>
      </c>
      <c r="D11" s="35">
        <f>SUM(Monthly_Data!D19:D21)</f>
        <v>825.94499999999994</v>
      </c>
      <c r="E11" s="35">
        <f>SUM(Monthly_Data!E19:E21)</f>
        <v>400.74400000000003</v>
      </c>
      <c r="F11" s="35">
        <f>SUM(Monthly_Data!F19:F21)</f>
        <v>318.48500000000001</v>
      </c>
      <c r="G11" s="35">
        <f>SUM(Monthly_Data!G19:G21)</f>
        <v>1572</v>
      </c>
      <c r="H11" s="35">
        <f>SUM(Monthly_Data!H19:H21)</f>
        <v>239.572</v>
      </c>
      <c r="I11" s="35">
        <f>SUM(Monthly_Data!I19:I21)</f>
        <v>0</v>
      </c>
      <c r="J11" s="35"/>
      <c r="K11" s="35"/>
      <c r="L11" s="35">
        <f>SUM(Monthly_Data!L19:L21)</f>
        <v>0</v>
      </c>
      <c r="M11" s="35"/>
      <c r="N11" s="134"/>
      <c r="O11" s="134"/>
      <c r="P11" s="35">
        <f>SUM(Monthly_Data!P19:P21)</f>
        <v>22534.334000000003</v>
      </c>
    </row>
    <row r="12" spans="1:17" x14ac:dyDescent="0.25">
      <c r="A12" s="78">
        <v>37043</v>
      </c>
      <c r="B12" s="35">
        <f>SUM(Monthly_Data!B22:B24)</f>
        <v>9378</v>
      </c>
      <c r="C12" s="35">
        <f>SUM(Monthly_Data!C22:C24)</f>
        <v>17557</v>
      </c>
      <c r="D12" s="35">
        <f>SUM(Monthly_Data!D22:D24)</f>
        <v>1156</v>
      </c>
      <c r="E12" s="35">
        <f>SUM(Monthly_Data!E22:E24)</f>
        <v>371</v>
      </c>
      <c r="F12" s="35">
        <f>SUM(Monthly_Data!F22:F24)</f>
        <v>381</v>
      </c>
      <c r="G12" s="35">
        <f>SUM(Monthly_Data!G22:G24)</f>
        <v>1850</v>
      </c>
      <c r="H12" s="35">
        <f>SUM(Monthly_Data!H22:H24)</f>
        <v>224</v>
      </c>
      <c r="I12" s="35">
        <f>SUM(Monthly_Data!I22:I24)</f>
        <v>0</v>
      </c>
      <c r="J12" s="35"/>
      <c r="K12" s="35"/>
      <c r="L12" s="35">
        <f>SUM(Monthly_Data!L22:L24)</f>
        <v>0</v>
      </c>
      <c r="M12" s="35"/>
      <c r="N12" s="134"/>
      <c r="O12" s="134"/>
      <c r="P12" s="35">
        <f>SUM(Monthly_Data!P22:P24)</f>
        <v>30917</v>
      </c>
    </row>
    <row r="13" spans="1:17" x14ac:dyDescent="0.25">
      <c r="A13" s="78">
        <v>37135</v>
      </c>
      <c r="B13" s="35">
        <f>SUM(Monthly_Data!B25:B27)</f>
        <v>10870.114</v>
      </c>
      <c r="C13" s="35">
        <f>SUM(Monthly_Data!C25:C27)</f>
        <v>14091.4</v>
      </c>
      <c r="D13" s="35">
        <f>SUM(Monthly_Data!D25:D27)</f>
        <v>354.25</v>
      </c>
      <c r="E13" s="35">
        <f>SUM(Monthly_Data!E25:E27)</f>
        <v>181.244</v>
      </c>
      <c r="F13" s="35">
        <f>SUM(Monthly_Data!F25:F27)</f>
        <v>261.5</v>
      </c>
      <c r="G13" s="35">
        <f>SUM(Monthly_Data!G25:G27)</f>
        <v>1332.864</v>
      </c>
      <c r="H13" s="35">
        <f>SUM(Monthly_Data!H25:H27)</f>
        <v>173.78100000000001</v>
      </c>
      <c r="I13" s="35">
        <f>SUM(Monthly_Data!I25:I27)</f>
        <v>0</v>
      </c>
      <c r="J13" s="35"/>
      <c r="K13" s="35"/>
      <c r="L13" s="35">
        <f>SUM(Monthly_Data!L25:L27)</f>
        <v>0</v>
      </c>
      <c r="M13" s="35"/>
      <c r="N13" s="134"/>
      <c r="O13" s="134"/>
      <c r="P13" s="35">
        <f>SUM(Monthly_Data!P25:P27)</f>
        <v>27265.152999999998</v>
      </c>
    </row>
    <row r="14" spans="1:17" x14ac:dyDescent="0.25">
      <c r="A14" s="78">
        <v>37226</v>
      </c>
      <c r="B14" s="35">
        <f>SUM(Monthly_Data!B28:B30)</f>
        <v>12398.796</v>
      </c>
      <c r="C14" s="35">
        <f>SUM(Monthly_Data!C28:C30)</f>
        <v>18524.8</v>
      </c>
      <c r="D14" s="35">
        <f>SUM(Monthly_Data!D28:D30)</f>
        <v>621.20499999999993</v>
      </c>
      <c r="E14" s="35">
        <f>SUM(Monthly_Data!E28:E30)</f>
        <v>284.84100000000001</v>
      </c>
      <c r="F14" s="35">
        <f>SUM(Monthly_Data!F28:F30)</f>
        <v>371.745</v>
      </c>
      <c r="G14" s="35">
        <f>SUM(Monthly_Data!G28:G30)</f>
        <v>1439.231</v>
      </c>
      <c r="H14" s="35">
        <f>SUM(Monthly_Data!H28:H30)</f>
        <v>191.60400000000001</v>
      </c>
      <c r="I14" s="35">
        <f>SUM(Monthly_Data!I28:I30)</f>
        <v>0</v>
      </c>
      <c r="J14" s="35"/>
      <c r="K14" s="35"/>
      <c r="L14" s="35">
        <f>SUM(Monthly_Data!L28:L30)</f>
        <v>0</v>
      </c>
      <c r="M14" s="35"/>
      <c r="N14" s="134"/>
      <c r="O14" s="134"/>
      <c r="P14" s="35">
        <f>SUM(Monthly_Data!P28:P30)</f>
        <v>33832.221999999994</v>
      </c>
    </row>
    <row r="15" spans="1:17" x14ac:dyDescent="0.25">
      <c r="A15" s="78">
        <v>37316</v>
      </c>
      <c r="B15" s="35">
        <f>SUM(Monthly_Data!B31:B33)</f>
        <v>15402.259999999998</v>
      </c>
      <c r="C15" s="35">
        <f>SUM(Monthly_Data!C31:C33)</f>
        <v>18635.599999999999</v>
      </c>
      <c r="D15" s="35">
        <f>SUM(Monthly_Data!D31:D33)</f>
        <v>724.77</v>
      </c>
      <c r="E15" s="35">
        <f>SUM(Monthly_Data!E31:E33)</f>
        <v>372.74799999999993</v>
      </c>
      <c r="F15" s="35">
        <f>SUM(Monthly_Data!F31:F33)</f>
        <v>438.37</v>
      </c>
      <c r="G15" s="35">
        <f>SUM(Monthly_Data!G31:G33)</f>
        <v>1630.7829999999999</v>
      </c>
      <c r="H15" s="35">
        <f>SUM(Monthly_Data!H31:H33)</f>
        <v>202.49600000000001</v>
      </c>
      <c r="I15" s="35">
        <f>SUM(Monthly_Data!I31:I33)</f>
        <v>0</v>
      </c>
      <c r="J15" s="35"/>
      <c r="K15" s="35"/>
      <c r="L15" s="35">
        <f>SUM(Monthly_Data!L31:L33)</f>
        <v>0</v>
      </c>
      <c r="M15" s="35"/>
      <c r="N15" s="134"/>
      <c r="O15" s="134"/>
      <c r="P15" s="35">
        <f>SUM(Monthly_Data!P31:P33)</f>
        <v>37407.027000000002</v>
      </c>
    </row>
    <row r="16" spans="1:17" x14ac:dyDescent="0.25">
      <c r="A16" s="78">
        <v>37408</v>
      </c>
      <c r="B16" s="37">
        <f>SUM(Monthly_Data!B34:B36)</f>
        <v>11065.428</v>
      </c>
      <c r="C16" s="37">
        <f>SUM(Monthly_Data!C34:C36)</f>
        <v>20954.331999999999</v>
      </c>
      <c r="D16" s="37">
        <f>SUM(Monthly_Data!D34:D36)</f>
        <v>879.875</v>
      </c>
      <c r="E16" s="37">
        <f>SUM(Monthly_Data!E34:E36)</f>
        <v>299.93700000000001</v>
      </c>
      <c r="F16" s="37">
        <f>SUM(Monthly_Data!F34:F36)</f>
        <v>437.76499999999999</v>
      </c>
      <c r="G16" s="37">
        <f>SUM(Monthly_Data!G34:G36)</f>
        <v>1281.1590000000001</v>
      </c>
      <c r="H16" s="37">
        <f>SUM(Monthly_Data!H34:H36)</f>
        <v>245.904</v>
      </c>
      <c r="I16" s="37">
        <f>SUM(Monthly_Data!I34:I36)</f>
        <v>0</v>
      </c>
      <c r="J16" s="37"/>
      <c r="K16" s="37"/>
      <c r="L16" s="37">
        <f>SUM(Monthly_Data!L34:L36)</f>
        <v>0</v>
      </c>
      <c r="M16" s="37"/>
      <c r="N16" s="135"/>
      <c r="O16" s="150"/>
      <c r="P16" s="37">
        <f>SUM(Monthly_Data!P34:P36)</f>
        <v>35164.399999999994</v>
      </c>
    </row>
    <row r="17" spans="1:16" x14ac:dyDescent="0.25">
      <c r="A17" s="78">
        <v>37500</v>
      </c>
      <c r="B17" s="37">
        <f>SUM(Monthly_Data!B34:B36)</f>
        <v>11065.428</v>
      </c>
      <c r="C17" s="37">
        <f>SUM(Monthly_Data!C34:C36)</f>
        <v>20954.331999999999</v>
      </c>
      <c r="D17" s="37">
        <f>SUM(Monthly_Data!D34:D36)</f>
        <v>879.875</v>
      </c>
      <c r="E17" s="37">
        <f>SUM(Monthly_Data!E34:E36)</f>
        <v>299.93700000000001</v>
      </c>
      <c r="F17" s="37">
        <f>SUM(Monthly_Data!F34:F36)</f>
        <v>437.76499999999999</v>
      </c>
      <c r="G17" s="37">
        <f>SUM(Monthly_Data!G34:G36)</f>
        <v>1281.1590000000001</v>
      </c>
      <c r="H17" s="37">
        <f>SUM(Monthly_Data!H34:H36)</f>
        <v>245.904</v>
      </c>
      <c r="I17" s="37">
        <f>SUM(Monthly_Data!I34:I36)</f>
        <v>0</v>
      </c>
      <c r="J17" s="37"/>
      <c r="K17" s="37"/>
      <c r="L17" s="37">
        <f>SUM(Monthly_Data!L34:L36)</f>
        <v>0</v>
      </c>
      <c r="M17" s="37"/>
      <c r="N17" s="135"/>
      <c r="O17" s="150"/>
      <c r="P17" s="37">
        <f>SUM(Monthly_Data!P34:P36)</f>
        <v>35164.399999999994</v>
      </c>
    </row>
    <row r="18" spans="1:16" x14ac:dyDescent="0.25">
      <c r="A18" s="78">
        <v>37591</v>
      </c>
      <c r="B18" s="37">
        <f>SUM(Monthly_Data!B40:B42)</f>
        <v>10467.432000000001</v>
      </c>
      <c r="C18" s="37">
        <f>SUM(Monthly_Data!C40:C42)</f>
        <v>13047.999999999998</v>
      </c>
      <c r="D18" s="37">
        <f>SUM(Monthly_Data!D40:D42)</f>
        <v>997.96199999999999</v>
      </c>
      <c r="E18" s="37">
        <f>SUM(Monthly_Data!E40:E42)</f>
        <v>375.73300000000006</v>
      </c>
      <c r="F18" s="37">
        <f>SUM(Monthly_Data!F40:F42)</f>
        <v>120.88499999999999</v>
      </c>
      <c r="G18" s="37">
        <f>SUM(Monthly_Data!G40:G42)</f>
        <v>1439.0439999999999</v>
      </c>
      <c r="H18" s="37">
        <f>SUM(Monthly_Data!H40:H42)</f>
        <v>210.726</v>
      </c>
      <c r="I18" s="37">
        <f>SUM(Monthly_Data!I40:I42)</f>
        <v>0</v>
      </c>
      <c r="J18" s="37"/>
      <c r="K18" s="37"/>
      <c r="L18" s="37">
        <f>SUM(Monthly_Data!L40:L42)</f>
        <v>0</v>
      </c>
      <c r="M18" s="37"/>
      <c r="N18" s="135"/>
      <c r="O18" s="150"/>
      <c r="P18" s="37">
        <f>SUM(Monthly_Data!P40:P42)</f>
        <v>26659.781999999999</v>
      </c>
    </row>
    <row r="19" spans="1:16" x14ac:dyDescent="0.25">
      <c r="A19" s="78">
        <v>37681</v>
      </c>
      <c r="B19" s="35">
        <f>SUM(Monthly_Data!B43:B45)</f>
        <v>12547.444</v>
      </c>
      <c r="C19" s="35">
        <f>SUM(Monthly_Data!C43:C45)</f>
        <v>12711</v>
      </c>
      <c r="D19" s="35">
        <f>SUM(Monthly_Data!D43:D45)</f>
        <v>875.99</v>
      </c>
      <c r="E19" s="35">
        <f>SUM(Monthly_Data!E43:E45)</f>
        <v>271.26149999999996</v>
      </c>
      <c r="F19" s="35">
        <f>SUM(Monthly_Data!F43:F45)</f>
        <v>533.30500000000006</v>
      </c>
      <c r="G19" s="35">
        <f>SUM(Monthly_Data!G43:G45)</f>
        <v>1125.0820000000001</v>
      </c>
      <c r="H19" s="35">
        <f>SUM(Monthly_Data!H43:H45)</f>
        <v>290.71600000000001</v>
      </c>
      <c r="I19" s="35">
        <f>SUM(Monthly_Data!I43:I45)</f>
        <v>0</v>
      </c>
      <c r="J19" s="35"/>
      <c r="K19" s="35"/>
      <c r="L19" s="35">
        <f>SUM(Monthly_Data!L43:L45)</f>
        <v>0</v>
      </c>
      <c r="M19" s="35"/>
      <c r="N19" s="134"/>
      <c r="O19" s="134"/>
      <c r="P19" s="35">
        <f>SUM(Monthly_Data!P43:P45)</f>
        <v>28354.798499999997</v>
      </c>
    </row>
    <row r="20" spans="1:16" x14ac:dyDescent="0.25">
      <c r="A20" s="78">
        <v>37773</v>
      </c>
      <c r="B20" s="37">
        <f>SUM(Monthly_Data!B46:B48)</f>
        <v>14249</v>
      </c>
      <c r="C20" s="37">
        <f>SUM(Monthly_Data!C46:C48)</f>
        <v>8655</v>
      </c>
      <c r="D20" s="37">
        <f>SUM(Monthly_Data!D46:D48)</f>
        <v>824</v>
      </c>
      <c r="E20" s="37">
        <f>SUM(Monthly_Data!E46:E48)</f>
        <v>294</v>
      </c>
      <c r="F20" s="37">
        <f>SUM(Monthly_Data!F46:F48)</f>
        <v>337</v>
      </c>
      <c r="G20" s="37">
        <f>SUM(Monthly_Data!G46:G48)</f>
        <v>1267</v>
      </c>
      <c r="H20" s="37">
        <f>SUM(Monthly_Data!H46:H48)</f>
        <v>275</v>
      </c>
      <c r="I20" s="37">
        <f>SUM(Monthly_Data!I46:I48)</f>
        <v>0</v>
      </c>
      <c r="J20" s="37"/>
      <c r="K20" s="37"/>
      <c r="L20" s="37">
        <f>SUM(Monthly_Data!L46:L48)</f>
        <v>0</v>
      </c>
      <c r="M20" s="37"/>
      <c r="N20" s="135"/>
      <c r="O20" s="150"/>
      <c r="P20" s="37">
        <f>SUM(Monthly_Data!P46:P48)</f>
        <v>25901</v>
      </c>
    </row>
    <row r="21" spans="1:16" x14ac:dyDescent="0.25">
      <c r="A21" s="78">
        <v>37865</v>
      </c>
      <c r="B21" s="37">
        <f>SUM(Monthly_Data!B49:B51)</f>
        <v>6676</v>
      </c>
      <c r="C21" s="37">
        <f>SUM(Monthly_Data!C49:C51)</f>
        <v>13767.8</v>
      </c>
      <c r="D21" s="37">
        <f>SUM(Monthly_Data!D49:D51)</f>
        <v>1110.82</v>
      </c>
      <c r="E21" s="37">
        <f>SUM(Monthly_Data!E49:E51)</f>
        <v>231.43</v>
      </c>
      <c r="F21" s="37">
        <f>SUM(Monthly_Data!F49:F51)</f>
        <v>271.60000000000002</v>
      </c>
      <c r="G21" s="37">
        <f>SUM(Monthly_Data!G49:G51)</f>
        <v>910</v>
      </c>
      <c r="H21" s="37">
        <f>SUM(Monthly_Data!H49:H51)</f>
        <v>277</v>
      </c>
      <c r="I21" s="37">
        <f>SUM(Monthly_Data!I49:I51)</f>
        <v>0</v>
      </c>
      <c r="J21" s="37"/>
      <c r="K21" s="37"/>
      <c r="L21" s="37">
        <f>SUM(Monthly_Data!L49:L51)</f>
        <v>0</v>
      </c>
      <c r="M21" s="37"/>
      <c r="N21" s="135"/>
      <c r="O21" s="150"/>
      <c r="P21" s="37">
        <f>SUM(Monthly_Data!P49:P51)</f>
        <v>23244.65</v>
      </c>
    </row>
    <row r="22" spans="1:16" x14ac:dyDescent="0.25">
      <c r="A22" s="78">
        <v>37956</v>
      </c>
      <c r="B22" s="37">
        <f>SUM(Monthly_Data!B52:B54)</f>
        <v>10002</v>
      </c>
      <c r="C22" s="37">
        <f>SUM(Monthly_Data!C52:C54)</f>
        <v>11499</v>
      </c>
      <c r="D22" s="37">
        <f>SUM(Monthly_Data!D52:D54)</f>
        <v>798</v>
      </c>
      <c r="E22" s="37">
        <f>SUM(Monthly_Data!E52:E54)</f>
        <v>316</v>
      </c>
      <c r="F22" s="37">
        <f>SUM(Monthly_Data!F52:F54)</f>
        <v>225</v>
      </c>
      <c r="G22" s="37">
        <f>SUM(Monthly_Data!G52:G54)</f>
        <v>964</v>
      </c>
      <c r="H22" s="37">
        <f>SUM(Monthly_Data!H52:H54)</f>
        <v>167</v>
      </c>
      <c r="I22" s="37">
        <f>SUM(Monthly_Data!I52:I54)</f>
        <v>0</v>
      </c>
      <c r="J22" s="37"/>
      <c r="K22" s="37"/>
      <c r="L22" s="37">
        <f>SUM(Monthly_Data!L52:L54)</f>
        <v>0</v>
      </c>
      <c r="M22" s="37"/>
      <c r="N22" s="135"/>
      <c r="O22" s="150"/>
      <c r="P22" s="37">
        <f>SUM(Monthly_Data!P52:P54)</f>
        <v>23971</v>
      </c>
    </row>
    <row r="23" spans="1:16" x14ac:dyDescent="0.25">
      <c r="A23" s="78">
        <v>38047</v>
      </c>
      <c r="B23" s="35">
        <f>SUM(Monthly_Data!B55:B57)</f>
        <v>10343.028</v>
      </c>
      <c r="C23" s="35">
        <f>SUM(Monthly_Data!C55:C57)</f>
        <v>10879.5</v>
      </c>
      <c r="D23" s="35">
        <f>SUM(Monthly_Data!D55:D57)</f>
        <v>228.45499999999998</v>
      </c>
      <c r="E23" s="35">
        <f>SUM(Monthly_Data!E55:E57)</f>
        <v>273.07350000000002</v>
      </c>
      <c r="F23" s="35">
        <f>SUM(Monthly_Data!F55:F57)</f>
        <v>384.32100000000003</v>
      </c>
      <c r="G23" s="35">
        <f>SUM(Monthly_Data!G55:G57)</f>
        <v>1066.72</v>
      </c>
      <c r="H23" s="35">
        <f>SUM(Monthly_Data!H55:H57)</f>
        <v>182.74799999999999</v>
      </c>
      <c r="I23" s="35">
        <f>SUM(Monthly_Data!I55:I57)</f>
        <v>0</v>
      </c>
      <c r="J23" s="35"/>
      <c r="K23" s="35"/>
      <c r="L23" s="35">
        <f>SUM(Monthly_Data!L55:L57)</f>
        <v>0</v>
      </c>
      <c r="M23" s="35"/>
      <c r="N23" s="134"/>
      <c r="O23" s="134"/>
      <c r="P23" s="35">
        <f>SUM(Monthly_Data!P55:P57)</f>
        <v>23357.845499999999</v>
      </c>
    </row>
    <row r="24" spans="1:16" x14ac:dyDescent="0.25">
      <c r="A24" s="78">
        <v>38139</v>
      </c>
      <c r="B24" s="37">
        <f>SUM(Monthly_Data!B58:B60)</f>
        <v>12079.276</v>
      </c>
      <c r="C24" s="37">
        <f>SUM(Monthly_Data!C58:C60)</f>
        <v>11080.2</v>
      </c>
      <c r="D24" s="37">
        <f>SUM(Monthly_Data!D58:D60)</f>
        <v>0</v>
      </c>
      <c r="E24" s="37">
        <f>SUM(Monthly_Data!E58:E60)</f>
        <v>240.19200000000001</v>
      </c>
      <c r="F24" s="37">
        <f>SUM(Monthly_Data!F58:F60)</f>
        <v>534.72500000000002</v>
      </c>
      <c r="G24" s="37">
        <f>SUM(Monthly_Data!G58:G60)</f>
        <v>1167.5409999999999</v>
      </c>
      <c r="H24" s="37">
        <f>SUM(Monthly_Data!H58:H60)</f>
        <v>299.86</v>
      </c>
      <c r="I24" s="37">
        <f>SUM(Monthly_Data!I58:I60)</f>
        <v>0</v>
      </c>
      <c r="J24" s="37"/>
      <c r="K24" s="37"/>
      <c r="L24" s="37">
        <f>SUM(Monthly_Data!L58:L60)</f>
        <v>0</v>
      </c>
      <c r="M24" s="37"/>
      <c r="N24" s="135"/>
      <c r="O24" s="150"/>
      <c r="P24" s="37">
        <f>SUM(Monthly_Data!P58:P60)</f>
        <v>25401.794000000002</v>
      </c>
    </row>
    <row r="25" spans="1:16" x14ac:dyDescent="0.25">
      <c r="A25" s="78">
        <v>38231</v>
      </c>
      <c r="B25" s="37">
        <f>SUM(Monthly_Data!B61:B63)</f>
        <v>7333.56</v>
      </c>
      <c r="C25" s="37">
        <f>SUM(Monthly_Data!C61:C63)</f>
        <v>12251.6</v>
      </c>
      <c r="D25" s="37">
        <f>SUM(Monthly_Data!D61:D63)</f>
        <v>285.51600000000002</v>
      </c>
      <c r="E25" s="37">
        <f>SUM(Monthly_Data!E61:E63)</f>
        <v>218.26050000000001</v>
      </c>
      <c r="F25" s="37">
        <f>SUM(Monthly_Data!F61:F63)</f>
        <v>305.94</v>
      </c>
      <c r="G25" s="37">
        <f>SUM(Monthly_Data!G61:G63)</f>
        <v>642.33899999999994</v>
      </c>
      <c r="H25" s="37">
        <f>SUM(Monthly_Data!H61:H63)</f>
        <v>227.38800000000001</v>
      </c>
      <c r="I25" s="37">
        <f>SUM(Monthly_Data!I61:I63)</f>
        <v>0</v>
      </c>
      <c r="J25" s="37"/>
      <c r="K25" s="37"/>
      <c r="L25" s="37">
        <f>SUM(Monthly_Data!L61:L63)</f>
        <v>0</v>
      </c>
      <c r="M25" s="37"/>
      <c r="N25" s="135"/>
      <c r="O25" s="150"/>
      <c r="P25" s="37">
        <f>SUM(Monthly_Data!P61:P63)</f>
        <v>21264.603500000001</v>
      </c>
    </row>
    <row r="26" spans="1:16" x14ac:dyDescent="0.25">
      <c r="A26" s="78">
        <v>38322</v>
      </c>
      <c r="B26" s="37">
        <f>SUM(Monthly_Data!B64:B66)</f>
        <v>9886.1759999999995</v>
      </c>
      <c r="C26" s="37">
        <f>SUM(Monthly_Data!C64:C66)</f>
        <v>9662</v>
      </c>
      <c r="D26" s="37">
        <f>SUM(Monthly_Data!D64:D66)</f>
        <v>690.88599999999997</v>
      </c>
      <c r="E26" s="37">
        <f>SUM(Monthly_Data!E64:E66)</f>
        <v>235.14249999999998</v>
      </c>
      <c r="F26" s="37">
        <f>SUM(Monthly_Data!F64:F66)</f>
        <v>98.132999999999996</v>
      </c>
      <c r="G26" s="37">
        <f>SUM(Monthly_Data!G64:G66)</f>
        <v>969.23300000000006</v>
      </c>
      <c r="H26" s="37">
        <f>SUM(Monthly_Data!H64:H66)</f>
        <v>12.067</v>
      </c>
      <c r="I26" s="37">
        <f>SUM(Monthly_Data!I64:I66)</f>
        <v>0</v>
      </c>
      <c r="J26" s="37"/>
      <c r="K26" s="37"/>
      <c r="L26" s="37">
        <f>SUM(Monthly_Data!L64:L66)</f>
        <v>0</v>
      </c>
      <c r="M26" s="37"/>
      <c r="N26" s="135"/>
      <c r="O26" s="150"/>
      <c r="P26" s="37">
        <f>SUM(Monthly_Data!P64:P66)</f>
        <v>21553.637500000001</v>
      </c>
    </row>
    <row r="27" spans="1:16" x14ac:dyDescent="0.25">
      <c r="A27" s="78">
        <v>38412</v>
      </c>
      <c r="B27" s="35">
        <f>SUM(Monthly_Data!B67:B69)</f>
        <v>13242.991999999998</v>
      </c>
      <c r="C27" s="35">
        <f>SUM(Monthly_Data!C67:C69)</f>
        <v>11534.9</v>
      </c>
      <c r="D27" s="35">
        <f>SUM(Monthly_Data!D67:D69)</f>
        <v>706.68999999999994</v>
      </c>
      <c r="E27" s="35">
        <f>SUM(Monthly_Data!E67:E69)</f>
        <v>271.47800000000001</v>
      </c>
      <c r="F27" s="35">
        <f>SUM(Monthly_Data!F67:F69)</f>
        <v>317.26</v>
      </c>
      <c r="G27" s="35">
        <f>SUM(Monthly_Data!G67:G69)</f>
        <v>889.86299999999994</v>
      </c>
      <c r="H27" s="35">
        <f>SUM(Monthly_Data!H67:H69)</f>
        <v>83.424000000000007</v>
      </c>
      <c r="I27" s="35">
        <f>SUM(Monthly_Data!I67:I69)</f>
        <v>0</v>
      </c>
      <c r="J27" s="35"/>
      <c r="K27" s="35"/>
      <c r="L27" s="35">
        <f>SUM(Monthly_Data!L67:L69)</f>
        <v>0</v>
      </c>
      <c r="M27" s="35"/>
      <c r="N27" s="134"/>
      <c r="O27" s="134"/>
      <c r="P27" s="35">
        <f>SUM(Monthly_Data!P67:P69)</f>
        <v>27046.607</v>
      </c>
    </row>
    <row r="28" spans="1:16" x14ac:dyDescent="0.25">
      <c r="A28" s="78">
        <v>38504</v>
      </c>
      <c r="B28" s="37">
        <f>SUM(Monthly_Data!B70:B72)</f>
        <v>11804.184000000001</v>
      </c>
      <c r="C28" s="37">
        <f>SUM(Monthly_Data!C70:C72)</f>
        <v>13072.699999999999</v>
      </c>
      <c r="D28" s="37">
        <f>SUM(Monthly_Data!D70:D72)</f>
        <v>831.375</v>
      </c>
      <c r="E28" s="37">
        <f>SUM(Monthly_Data!E70:E72)</f>
        <v>280.15050000000002</v>
      </c>
      <c r="F28" s="37">
        <f>SUM(Monthly_Data!F70:F72)</f>
        <v>480.96000000000004</v>
      </c>
      <c r="G28" s="37">
        <f>SUM(Monthly_Data!G70:G72)</f>
        <v>889.31099999999992</v>
      </c>
      <c r="H28" s="37">
        <f>SUM(Monthly_Data!H70:H72)</f>
        <v>148.416</v>
      </c>
      <c r="I28" s="37">
        <f>SUM(Monthly_Data!I70:I72)</f>
        <v>0</v>
      </c>
      <c r="J28" s="37"/>
      <c r="K28" s="37"/>
      <c r="L28" s="37">
        <f>SUM(Monthly_Data!L70:L72)</f>
        <v>0</v>
      </c>
      <c r="M28" s="37"/>
      <c r="N28" s="135"/>
      <c r="O28" s="150"/>
      <c r="P28" s="37">
        <f>SUM(Monthly_Data!P70:P72)</f>
        <v>27507.0965</v>
      </c>
    </row>
    <row r="29" spans="1:16" x14ac:dyDescent="0.25">
      <c r="A29" s="78">
        <v>38596</v>
      </c>
      <c r="B29" s="37">
        <f>SUM(Monthly_Data!B73:B75)</f>
        <v>7555.3520000000008</v>
      </c>
      <c r="C29" s="37">
        <f>SUM(Monthly_Data!C73:C75)</f>
        <v>13270.7</v>
      </c>
      <c r="D29" s="37">
        <f>SUM(Monthly_Data!D73:D75)</f>
        <v>543.32999999999993</v>
      </c>
      <c r="E29" s="37">
        <f>SUM(Monthly_Data!E73:E75)</f>
        <v>219.77749999999997</v>
      </c>
      <c r="F29" s="37">
        <f>SUM(Monthly_Data!F73:F75)</f>
        <v>272.08500000000004</v>
      </c>
      <c r="G29" s="37">
        <f>SUM(Monthly_Data!G73:G75)</f>
        <v>817.11900000000003</v>
      </c>
      <c r="H29" s="37">
        <f>SUM(Monthly_Data!H73:H75)</f>
        <v>165.95399999999998</v>
      </c>
      <c r="I29" s="37">
        <f>SUM(Monthly_Data!I73:I75)</f>
        <v>0</v>
      </c>
      <c r="J29" s="37"/>
      <c r="K29" s="37"/>
      <c r="L29" s="37">
        <f>SUM(Monthly_Data!L73:L75)</f>
        <v>0</v>
      </c>
      <c r="M29" s="37"/>
      <c r="N29" s="135"/>
      <c r="O29" s="150"/>
      <c r="P29" s="37">
        <f>SUM(Monthly_Data!P73:P75)</f>
        <v>22844.317500000001</v>
      </c>
    </row>
    <row r="30" spans="1:16" x14ac:dyDescent="0.25">
      <c r="A30" s="78">
        <v>38687</v>
      </c>
      <c r="B30" s="37">
        <f>SUM(Monthly_Data!B76:B78)</f>
        <v>9184.7160000000003</v>
      </c>
      <c r="C30" s="37">
        <f>SUM(Monthly_Data!C76:C78)</f>
        <v>11737.8</v>
      </c>
      <c r="D30" s="37">
        <f>SUM(Monthly_Data!D76:D78)</f>
        <v>623.08500000000004</v>
      </c>
      <c r="E30" s="37">
        <f>SUM(Monthly_Data!E76:E78)</f>
        <v>136.24949999999998</v>
      </c>
      <c r="F30" s="37">
        <f>SUM(Monthly_Data!F76:F78)</f>
        <v>154.60700000000003</v>
      </c>
      <c r="G30" s="37">
        <f>SUM(Monthly_Data!G76:G78)</f>
        <v>799.10799999999995</v>
      </c>
      <c r="H30" s="37">
        <f>SUM(Monthly_Data!H76:H78)</f>
        <v>233.05200000000002</v>
      </c>
      <c r="I30" s="37">
        <f>SUM(Monthly_Data!I76:I78)</f>
        <v>0</v>
      </c>
      <c r="J30" s="37"/>
      <c r="K30" s="37"/>
      <c r="L30" s="37">
        <f>SUM(Monthly_Data!L76:L78)</f>
        <v>0</v>
      </c>
      <c r="M30" s="37"/>
      <c r="N30" s="135"/>
      <c r="O30" s="150"/>
      <c r="P30" s="37">
        <f>SUM(Monthly_Data!P76:P78)</f>
        <v>22868.6175</v>
      </c>
    </row>
    <row r="31" spans="1:16" x14ac:dyDescent="0.25">
      <c r="A31" s="78">
        <v>38777</v>
      </c>
      <c r="B31" s="35">
        <f>SUM(Monthly_Data!B79:B81)</f>
        <v>11614.732</v>
      </c>
      <c r="C31" s="35">
        <f>SUM(Monthly_Data!C79:C81)</f>
        <v>7875.5</v>
      </c>
      <c r="D31" s="35">
        <f>SUM(Monthly_Data!D79:D81)</f>
        <v>0</v>
      </c>
      <c r="E31" s="35">
        <f>SUM(Monthly_Data!E79:E81)</f>
        <v>0</v>
      </c>
      <c r="F31" s="35">
        <f>SUM(Monthly_Data!F79:F81)</f>
        <v>172.40899999999999</v>
      </c>
      <c r="G31" s="35">
        <f>SUM(Monthly_Data!G79:G81)</f>
        <v>754.10199999999998</v>
      </c>
      <c r="H31" s="35">
        <f>SUM(Monthly_Data!H79:H81)</f>
        <v>222.11199999999999</v>
      </c>
      <c r="I31" s="35">
        <f>SUM(Monthly_Data!I79:I81)</f>
        <v>0</v>
      </c>
      <c r="J31" s="35"/>
      <c r="K31" s="35"/>
      <c r="L31" s="35">
        <f>SUM(Monthly_Data!L79:L81)</f>
        <v>0</v>
      </c>
      <c r="M31" s="35"/>
      <c r="N31" s="134"/>
      <c r="O31" s="134"/>
      <c r="P31" s="35">
        <f>SUM(Monthly_Data!P79:P81)</f>
        <v>20638.855</v>
      </c>
    </row>
    <row r="32" spans="1:16" x14ac:dyDescent="0.25">
      <c r="A32" s="78">
        <v>38869</v>
      </c>
      <c r="B32" s="37">
        <f>SUM(Monthly_Data!B82:B84)</f>
        <v>16035.402000000002</v>
      </c>
      <c r="C32" s="37">
        <f>SUM(Monthly_Data!C82:C84)</f>
        <v>7306.8</v>
      </c>
      <c r="D32" s="37">
        <f>SUM(Monthly_Data!D82:D84)</f>
        <v>0</v>
      </c>
      <c r="E32" s="37">
        <f>SUM(Monthly_Data!E82:E84)</f>
        <v>0</v>
      </c>
      <c r="F32" s="37">
        <f>SUM(Monthly_Data!F82:F84)</f>
        <v>340.92500000000001</v>
      </c>
      <c r="G32" s="37">
        <f>SUM(Monthly_Data!G82:G84)</f>
        <v>1100.4159999999999</v>
      </c>
      <c r="H32" s="37">
        <f>SUM(Monthly_Data!H82:H84)</f>
        <v>252.5</v>
      </c>
      <c r="I32" s="37">
        <f>SUM(Monthly_Data!I82:I84)</f>
        <v>0</v>
      </c>
      <c r="J32" s="37"/>
      <c r="K32" s="37"/>
      <c r="L32" s="37">
        <f>SUM(Monthly_Data!L82:L84)</f>
        <v>0</v>
      </c>
      <c r="M32" s="37"/>
      <c r="N32" s="135"/>
      <c r="O32" s="150"/>
      <c r="P32" s="37">
        <f>SUM(Monthly_Data!P82:P84)</f>
        <v>25036.042999999998</v>
      </c>
    </row>
    <row r="33" spans="1:19" x14ac:dyDescent="0.25">
      <c r="A33" s="78">
        <v>38961</v>
      </c>
      <c r="B33" s="37">
        <f>SUM(Monthly_Data!B85:B87)</f>
        <v>10357.544</v>
      </c>
      <c r="C33" s="37">
        <f>SUM(Monthly_Data!C85:C87)</f>
        <v>9688.5</v>
      </c>
      <c r="D33" s="37">
        <f>SUM(Monthly_Data!D85:D87)</f>
        <v>0</v>
      </c>
      <c r="E33" s="37">
        <f>SUM(Monthly_Data!E85:E87)</f>
        <v>0</v>
      </c>
      <c r="F33" s="37">
        <f>SUM(Monthly_Data!F85:F87)</f>
        <v>108.94499999999999</v>
      </c>
      <c r="G33" s="37">
        <f>SUM(Monthly_Data!G85:G87)</f>
        <v>1142.171</v>
      </c>
      <c r="H33" s="37">
        <f>SUM(Monthly_Data!H85:H87)</f>
        <v>250.09200000000001</v>
      </c>
      <c r="I33" s="37">
        <f>SUM(Monthly_Data!I85:I87)</f>
        <v>0</v>
      </c>
      <c r="J33" s="37"/>
      <c r="K33" s="37"/>
      <c r="L33" s="37">
        <f>SUM(Monthly_Data!L85:L87)</f>
        <v>0</v>
      </c>
      <c r="M33" s="37"/>
      <c r="N33" s="135"/>
      <c r="O33" s="150"/>
      <c r="P33" s="37">
        <f>SUM(Monthly_Data!P85:P87)</f>
        <v>21547.252</v>
      </c>
    </row>
    <row r="34" spans="1:19" x14ac:dyDescent="0.25">
      <c r="A34" s="78">
        <v>39052</v>
      </c>
      <c r="B34" s="37">
        <f>SUM(Monthly_Data!B88:B90)</f>
        <v>13216.072</v>
      </c>
      <c r="C34" s="37">
        <f>SUM(Monthly_Data!C88:C90)</f>
        <v>10952.1</v>
      </c>
      <c r="D34" s="37">
        <f>SUM(Monthly_Data!D88:D90)</f>
        <v>0</v>
      </c>
      <c r="E34" s="37">
        <f>SUM(Monthly_Data!E88:E90)</f>
        <v>0</v>
      </c>
      <c r="F34" s="37">
        <f>SUM(Monthly_Data!F88:F90)</f>
        <v>207.09039999999999</v>
      </c>
      <c r="G34" s="37">
        <f>SUM(Monthly_Data!G88:G90)</f>
        <v>1481.9669999999999</v>
      </c>
      <c r="H34" s="37">
        <f>SUM(Monthly_Data!H88:H90)</f>
        <v>256.76400000000001</v>
      </c>
      <c r="I34" s="37">
        <f>SUM(Monthly_Data!I88:I90)</f>
        <v>0</v>
      </c>
      <c r="J34" s="37"/>
      <c r="K34" s="37"/>
      <c r="L34" s="37">
        <f>SUM(Monthly_Data!L88:L90)</f>
        <v>0</v>
      </c>
      <c r="M34" s="37"/>
      <c r="N34" s="135"/>
      <c r="O34" s="150"/>
      <c r="P34" s="37">
        <f>SUM(Monthly_Data!P88:P90)</f>
        <v>26113.993399999999</v>
      </c>
    </row>
    <row r="35" spans="1:19" x14ac:dyDescent="0.25">
      <c r="A35" s="78">
        <v>39142</v>
      </c>
      <c r="B35" s="35">
        <f>SUM(Monthly_Data!B91:B93)</f>
        <v>14832.467999999999</v>
      </c>
      <c r="C35" s="35">
        <f>SUM(Monthly_Data!C91:C93)</f>
        <v>19994.599999999999</v>
      </c>
      <c r="D35" s="35">
        <f>SUM(Monthly_Data!D91:D93)</f>
        <v>0</v>
      </c>
      <c r="E35" s="35">
        <f>SUM(Monthly_Data!E91:E93)</f>
        <v>0</v>
      </c>
      <c r="F35" s="35">
        <f>SUM(Monthly_Data!F91:F93)</f>
        <v>487.54500000000007</v>
      </c>
      <c r="G35" s="35">
        <f>SUM(Monthly_Data!G91:G93)</f>
        <v>869.36099999999999</v>
      </c>
      <c r="H35" s="35">
        <f>SUM(Monthly_Data!H91:H93)</f>
        <v>257.524</v>
      </c>
      <c r="I35" s="35">
        <f>SUM(Monthly_Data!I91:I93)</f>
        <v>0</v>
      </c>
      <c r="J35" s="35"/>
      <c r="K35" s="35"/>
      <c r="L35" s="35">
        <f>SUM(Monthly_Data!L91:L93)</f>
        <v>0</v>
      </c>
      <c r="M35" s="35"/>
      <c r="N35" s="134"/>
      <c r="O35" s="134"/>
      <c r="P35" s="35">
        <f>SUM(Monthly_Data!P91:P93)</f>
        <v>36441.498</v>
      </c>
    </row>
    <row r="36" spans="1:19" x14ac:dyDescent="0.25">
      <c r="A36" s="78">
        <v>39234</v>
      </c>
      <c r="B36" s="37">
        <f>SUM(Monthly_Data!B94:B96)</f>
        <v>13687.956</v>
      </c>
      <c r="C36" s="37">
        <f>SUM(Monthly_Data!C94:C96)</f>
        <v>14110.199999999999</v>
      </c>
      <c r="D36" s="37">
        <f>SUM(Monthly_Data!D94:D96)</f>
        <v>0</v>
      </c>
      <c r="E36" s="37">
        <f>SUM(Monthly_Data!E94:E96)</f>
        <v>0</v>
      </c>
      <c r="F36" s="37">
        <f>SUM(Monthly_Data!F94:F96)</f>
        <v>415.94120000000004</v>
      </c>
      <c r="G36" s="37">
        <f>SUM(Monthly_Data!G94:G96)</f>
        <v>1481.165</v>
      </c>
      <c r="H36" s="37">
        <f>SUM(Monthly_Data!H94:H96)</f>
        <v>252.85199999999998</v>
      </c>
      <c r="I36" s="37">
        <f>SUM(Monthly_Data!I94:I96)</f>
        <v>0</v>
      </c>
      <c r="J36" s="37"/>
      <c r="K36" s="37"/>
      <c r="L36" s="37">
        <f>SUM(Monthly_Data!L94:L96)</f>
        <v>0</v>
      </c>
      <c r="M36" s="37"/>
      <c r="N36" s="135"/>
      <c r="O36" s="150"/>
      <c r="P36" s="37">
        <f>SUM(Monthly_Data!P94:P96)</f>
        <v>29948.114200000004</v>
      </c>
    </row>
    <row r="37" spans="1:19" x14ac:dyDescent="0.25">
      <c r="A37" s="78">
        <v>39326</v>
      </c>
      <c r="B37" s="37">
        <f>SUM(Monthly_Data!B97:B99)</f>
        <v>9695.34</v>
      </c>
      <c r="C37" s="37">
        <f>SUM(Monthly_Data!C97:C99)</f>
        <v>15517.3</v>
      </c>
      <c r="D37" s="37">
        <f>SUM(Monthly_Data!D97:D99)</f>
        <v>1156.0999999999999</v>
      </c>
      <c r="E37" s="37">
        <f>SUM(Monthly_Data!E97:E99)</f>
        <v>635.37</v>
      </c>
      <c r="F37" s="37">
        <f>SUM(Monthly_Data!F97:F99)</f>
        <v>209.25</v>
      </c>
      <c r="G37" s="37">
        <f>SUM(Monthly_Data!G97:G99)</f>
        <v>1065.6120000000001</v>
      </c>
      <c r="H37" s="37">
        <f>SUM(Monthly_Data!H97:H99)</f>
        <v>73.424000000000007</v>
      </c>
      <c r="I37" s="37">
        <f>SUM(Monthly_Data!I97:I99)</f>
        <v>0</v>
      </c>
      <c r="J37" s="37"/>
      <c r="K37" s="37"/>
      <c r="L37" s="37">
        <f>SUM(Monthly_Data!L97:L99)</f>
        <v>0</v>
      </c>
      <c r="M37" s="37"/>
      <c r="N37" s="135"/>
      <c r="O37" s="150"/>
      <c r="P37" s="37">
        <f>SUM(Monthly_Data!P97:P99)</f>
        <v>28352.396000000001</v>
      </c>
    </row>
    <row r="38" spans="1:19" x14ac:dyDescent="0.25">
      <c r="A38" s="78">
        <v>39417</v>
      </c>
      <c r="B38" s="37">
        <f>SUM(Monthly_Data!B100:B102)</f>
        <v>9136.3320000000003</v>
      </c>
      <c r="C38" s="37">
        <f>SUM(Monthly_Data!C100:C102)</f>
        <v>10255.4</v>
      </c>
      <c r="D38" s="37">
        <f>SUM(Monthly_Data!D100:D102)</f>
        <v>1395.96</v>
      </c>
      <c r="E38" s="37">
        <f>SUM(Monthly_Data!E100:E102)</f>
        <v>969.3</v>
      </c>
      <c r="F38" s="37">
        <f>SUM(Monthly_Data!F100:F102)</f>
        <v>188.68</v>
      </c>
      <c r="G38" s="37">
        <f>SUM(Monthly_Data!G100:G102)</f>
        <v>763.971</v>
      </c>
      <c r="H38" s="37">
        <f>SUM(Monthly_Data!H100:H102)</f>
        <v>6.78</v>
      </c>
      <c r="I38" s="37">
        <f>SUM(Monthly_Data!I100:I102)</f>
        <v>0</v>
      </c>
      <c r="J38" s="37"/>
      <c r="K38" s="37"/>
      <c r="L38" s="37">
        <f>SUM(Monthly_Data!L100:L102)</f>
        <v>0</v>
      </c>
      <c r="M38" s="37"/>
      <c r="N38" s="135"/>
      <c r="O38" s="150"/>
      <c r="P38" s="37">
        <f>SUM(Monthly_Data!P100:P102)</f>
        <v>22716.423000000003</v>
      </c>
    </row>
    <row r="39" spans="1:19" x14ac:dyDescent="0.25">
      <c r="A39" s="78">
        <v>39508</v>
      </c>
      <c r="B39" s="35">
        <f>SUM(Monthly_Data!B103:B105)</f>
        <v>12851.531999999999</v>
      </c>
      <c r="C39" s="35">
        <f>SUM(Monthly_Data!C103:C105)</f>
        <v>7360.5239999999994</v>
      </c>
      <c r="D39" s="35">
        <f>SUM(Monthly_Data!D103:D105)</f>
        <v>1387.6559999999999</v>
      </c>
      <c r="E39" s="35">
        <f>SUM(Monthly_Data!E103:E105)</f>
        <v>1368.48</v>
      </c>
      <c r="F39" s="35">
        <f>SUM(Monthly_Data!F103:F105)</f>
        <v>376.70299999999997</v>
      </c>
      <c r="G39" s="35">
        <f>SUM(Monthly_Data!G103:G105)</f>
        <v>791.87599999999998</v>
      </c>
      <c r="H39" s="35">
        <f>SUM(Monthly_Data!H103:H105)</f>
        <v>125.66799999999999</v>
      </c>
      <c r="I39" s="35">
        <f>SUM(Monthly_Data!I103:I105)</f>
        <v>0</v>
      </c>
      <c r="J39" s="35"/>
      <c r="K39" s="35"/>
      <c r="L39" s="35">
        <f>SUM(Monthly_Data!L103:L105)</f>
        <v>0</v>
      </c>
      <c r="M39" s="35"/>
      <c r="N39" s="134"/>
      <c r="O39" s="134"/>
      <c r="P39" s="35">
        <f>SUM(Monthly_Data!P103:P105)</f>
        <v>24262.438999999998</v>
      </c>
    </row>
    <row r="40" spans="1:19" x14ac:dyDescent="0.25">
      <c r="A40" s="78">
        <v>39600</v>
      </c>
      <c r="B40" s="37">
        <f>SUM(Monthly_Data!B106:B108)</f>
        <v>11587.995999999999</v>
      </c>
      <c r="C40" s="37">
        <f>SUM(Monthly_Data!C106:C108)</f>
        <v>13030</v>
      </c>
      <c r="D40" s="37">
        <f>SUM(Monthly_Data!D106:D108)</f>
        <v>703.68999999999994</v>
      </c>
      <c r="E40" s="37">
        <f>SUM(Monthly_Data!E106:E108)</f>
        <v>1053.4000000000001</v>
      </c>
      <c r="F40" s="37">
        <f>SUM(Monthly_Data!F106:F108)</f>
        <v>362.40899999999999</v>
      </c>
      <c r="G40" s="37">
        <f>SUM(Monthly_Data!G106:G108)</f>
        <v>989.66800000000012</v>
      </c>
      <c r="H40" s="37">
        <f>SUM(Monthly_Data!H106:H108)</f>
        <v>260.01</v>
      </c>
      <c r="I40" s="37">
        <f>SUM(Monthly_Data!I106:I108)</f>
        <v>0</v>
      </c>
      <c r="J40" s="37"/>
      <c r="K40" s="37"/>
      <c r="L40" s="37">
        <f>SUM(Monthly_Data!L106:L108)</f>
        <v>0</v>
      </c>
      <c r="M40" s="37"/>
      <c r="N40" s="135"/>
      <c r="O40" s="150"/>
      <c r="P40" s="37">
        <f>SUM(Monthly_Data!P106:P108)</f>
        <v>27987.172999999999</v>
      </c>
    </row>
    <row r="41" spans="1:19" x14ac:dyDescent="0.25">
      <c r="A41" s="78">
        <v>39692</v>
      </c>
      <c r="B41" s="37">
        <f>SUM(Monthly_Data!B109:B111)</f>
        <v>7733.0519999999997</v>
      </c>
      <c r="C41" s="37">
        <f>SUM(Monthly_Data!C109:C111)</f>
        <v>19376.800000000003</v>
      </c>
      <c r="D41" s="37">
        <f>SUM(Monthly_Data!D109:D111)</f>
        <v>920.25</v>
      </c>
      <c r="E41" s="37">
        <f>SUM(Monthly_Data!E109:E111)</f>
        <v>835.9</v>
      </c>
      <c r="F41" s="37">
        <f>SUM(Monthly_Data!F109:F111)</f>
        <v>129.80000000000001</v>
      </c>
      <c r="G41" s="37">
        <f>SUM(Monthly_Data!G109:G111)</f>
        <v>900.7890000000001</v>
      </c>
      <c r="H41" s="37">
        <f>SUM(Monthly_Data!H109:H111)</f>
        <v>254.61599999999999</v>
      </c>
      <c r="I41" s="37">
        <f>SUM(Monthly_Data!I109:I111)</f>
        <v>0</v>
      </c>
      <c r="J41" s="37"/>
      <c r="K41" s="37"/>
      <c r="L41" s="37">
        <f>SUM(Monthly_Data!L109:L111)</f>
        <v>0</v>
      </c>
      <c r="M41" s="37"/>
      <c r="N41" s="135"/>
      <c r="O41" s="150"/>
      <c r="P41" s="37">
        <f>SUM(Monthly_Data!P109:P111)</f>
        <v>30151.207000000002</v>
      </c>
    </row>
    <row r="42" spans="1:19" x14ac:dyDescent="0.25">
      <c r="A42" s="78">
        <v>39783</v>
      </c>
      <c r="B42" s="37">
        <f>SUM(Monthly_Data!B112:B114)</f>
        <v>10198.692000000001</v>
      </c>
      <c r="C42" s="37">
        <f>SUM(Monthly_Data!C112:C114)</f>
        <v>15559.8</v>
      </c>
      <c r="D42" s="37">
        <f>SUM(Monthly_Data!D112:D114)</f>
        <v>1242.8600000000001</v>
      </c>
      <c r="E42" s="37">
        <f>SUM(Monthly_Data!E112:E114)</f>
        <v>1023.02</v>
      </c>
      <c r="F42" s="37">
        <f>SUM(Monthly_Data!F112:F114)</f>
        <v>156.85500000000002</v>
      </c>
      <c r="G42" s="37">
        <f>SUM(Monthly_Data!G112:G114)</f>
        <v>966.21399999999994</v>
      </c>
      <c r="H42" s="37">
        <f>SUM(Monthly_Data!H112:H114)</f>
        <v>241.07999999999998</v>
      </c>
      <c r="I42" s="37">
        <f>SUM(Monthly_Data!I112:I114)</f>
        <v>0</v>
      </c>
      <c r="J42" s="37"/>
      <c r="K42" s="37"/>
      <c r="L42" s="37">
        <f>SUM(Monthly_Data!L112:L114)</f>
        <v>0</v>
      </c>
      <c r="M42" s="37"/>
      <c r="N42" s="135"/>
      <c r="O42" s="150"/>
      <c r="P42" s="37">
        <f>SUM(Monthly_Data!P112:P114)</f>
        <v>29388.520999999997</v>
      </c>
    </row>
    <row r="43" spans="1:19" x14ac:dyDescent="0.25">
      <c r="A43" s="78">
        <v>39873</v>
      </c>
      <c r="B43" s="35">
        <f>SUM(Monthly_Data!B115:B117)</f>
        <v>14825.88</v>
      </c>
      <c r="C43" s="35">
        <f>SUM(Monthly_Data!C115:C117)</f>
        <v>9050.9</v>
      </c>
      <c r="D43" s="35">
        <f>SUM(Monthly_Data!D115:D117)</f>
        <v>1279.3699999999999</v>
      </c>
      <c r="E43" s="35">
        <f>SUM(Monthly_Data!E115:E117)</f>
        <v>1424.9</v>
      </c>
      <c r="F43" s="35">
        <f>SUM(Monthly_Data!F115:F117)</f>
        <v>388.66499999999996</v>
      </c>
      <c r="G43" s="35">
        <f>SUM(Monthly_Data!G115:G117)</f>
        <v>916.30599999999993</v>
      </c>
      <c r="H43" s="35">
        <f>SUM(Monthly_Data!H115:H117)</f>
        <v>240.93600000000001</v>
      </c>
      <c r="I43" s="35">
        <f>SUM(Monthly_Data!I115:I117)</f>
        <v>0</v>
      </c>
      <c r="J43" s="35"/>
      <c r="K43" s="35"/>
      <c r="L43" s="35">
        <f>SUM(Monthly_Data!L115:L117)</f>
        <v>0</v>
      </c>
      <c r="M43" s="35"/>
      <c r="N43" s="134"/>
      <c r="O43" s="134"/>
      <c r="P43" s="35">
        <f>SUM(Monthly_Data!P115:P117)</f>
        <v>28126.957000000002</v>
      </c>
    </row>
    <row r="44" spans="1:19" x14ac:dyDescent="0.25">
      <c r="A44" s="78">
        <v>39965</v>
      </c>
      <c r="B44" s="37">
        <f>SUM(Monthly_Data!B118:B120)</f>
        <v>13549.878000000001</v>
      </c>
      <c r="C44" s="37">
        <f>SUM(Monthly_Data!C118:C120)</f>
        <v>11017.7</v>
      </c>
      <c r="D44" s="37">
        <f>SUM(Monthly_Data!D118:D120)</f>
        <v>1594.7199999999998</v>
      </c>
      <c r="E44" s="37">
        <f>SUM(Monthly_Data!E118:E120)</f>
        <v>1548.3999999999999</v>
      </c>
      <c r="F44" s="37">
        <f>SUM(Monthly_Data!F118:F120)</f>
        <v>614.71499999999992</v>
      </c>
      <c r="G44" s="37">
        <f>SUM(Monthly_Data!G118:G120)</f>
        <v>848.98299999999995</v>
      </c>
      <c r="H44" s="37">
        <f>SUM(Monthly_Data!H118:H120)</f>
        <v>375.65999999999997</v>
      </c>
      <c r="I44" s="37">
        <f>SUM(Monthly_Data!I118:I120)</f>
        <v>0</v>
      </c>
      <c r="J44" s="37"/>
      <c r="K44" s="37"/>
      <c r="L44" s="37">
        <f>SUM(Monthly_Data!L118:L120)</f>
        <v>0</v>
      </c>
      <c r="M44" s="37"/>
      <c r="N44" s="135"/>
      <c r="O44" s="150"/>
      <c r="P44" s="37">
        <f>SUM(Monthly_Data!P118:P120)</f>
        <v>29550.055999999997</v>
      </c>
    </row>
    <row r="45" spans="1:19" x14ac:dyDescent="0.25">
      <c r="A45" s="78">
        <v>40057</v>
      </c>
      <c r="B45" s="37">
        <f>SUM(Monthly_Data!B121:B123)</f>
        <v>8641.1880000000001</v>
      </c>
      <c r="C45" s="37">
        <f>SUM(Monthly_Data!C121:C123)</f>
        <v>17366.900000000001</v>
      </c>
      <c r="D45" s="37">
        <f>SUM(Monthly_Data!D121:D123)</f>
        <v>1344.99</v>
      </c>
      <c r="E45" s="37">
        <f>SUM(Monthly_Data!E121:E123)</f>
        <v>861.73</v>
      </c>
      <c r="F45" s="37">
        <f>SUM(Monthly_Data!F121:F123)</f>
        <v>217.13500000000002</v>
      </c>
      <c r="G45" s="37">
        <f>SUM(Monthly_Data!G121:G123)</f>
        <v>1231.1500000000001</v>
      </c>
      <c r="H45" s="37">
        <f>SUM(Monthly_Data!H121:H123)</f>
        <v>268.77599999999995</v>
      </c>
      <c r="I45" s="37">
        <f>SUM(Monthly_Data!I121:I123)</f>
        <v>0</v>
      </c>
      <c r="J45" s="37"/>
      <c r="K45" s="37"/>
      <c r="L45" s="37">
        <f>SUM(Monthly_Data!L121:L123)</f>
        <v>1568.34</v>
      </c>
      <c r="M45" s="37"/>
      <c r="N45" s="135"/>
      <c r="O45" s="150"/>
      <c r="P45" s="37">
        <f>SUM(Monthly_Data!P121:P123)</f>
        <v>31500.208999999995</v>
      </c>
      <c r="R45" s="11"/>
    </row>
    <row r="46" spans="1:19" x14ac:dyDescent="0.25">
      <c r="A46" s="78">
        <v>40148</v>
      </c>
      <c r="B46" s="37">
        <f>SUM(Monthly_Data!B124:B126)</f>
        <v>11849.976000000001</v>
      </c>
      <c r="C46" s="37">
        <f>SUM(Monthly_Data!C124:C126)</f>
        <v>11799.099999999999</v>
      </c>
      <c r="D46" s="37">
        <f>SUM(Monthly_Data!D124:D126)</f>
        <v>1125.26</v>
      </c>
      <c r="E46" s="37">
        <f>SUM(Monthly_Data!E124:E126)</f>
        <v>1223.93</v>
      </c>
      <c r="F46" s="37">
        <f>SUM(Monthly_Data!F124:F126)</f>
        <v>159.21</v>
      </c>
      <c r="G46" s="37">
        <f>SUM(Monthly_Data!G124:G126)</f>
        <v>2679.424</v>
      </c>
      <c r="H46" s="37">
        <f>SUM(Monthly_Data!H124:H126)</f>
        <v>332.67599999999999</v>
      </c>
      <c r="I46" s="37">
        <f>SUM(Monthly_Data!I124:I126)</f>
        <v>0</v>
      </c>
      <c r="J46" s="37"/>
      <c r="K46" s="37"/>
      <c r="L46" s="37">
        <f>SUM(Monthly_Data!L124:L126)</f>
        <v>2800.5</v>
      </c>
      <c r="M46" s="37"/>
      <c r="N46" s="135"/>
      <c r="O46" s="150"/>
      <c r="P46" s="37">
        <f>SUM(Monthly_Data!P124:P126)</f>
        <v>31970.076000000001</v>
      </c>
    </row>
    <row r="47" spans="1:19" x14ac:dyDescent="0.25">
      <c r="A47" s="78">
        <v>40238</v>
      </c>
      <c r="B47" s="35">
        <f>SUM(Monthly_Data!B127:B129)</f>
        <v>13809.14</v>
      </c>
      <c r="C47" s="35">
        <f>SUM(Monthly_Data!C127:C129)</f>
        <v>12130.8</v>
      </c>
      <c r="D47" s="35">
        <f>SUM(Monthly_Data!D127:D129)</f>
        <v>977.4</v>
      </c>
      <c r="E47" s="35">
        <f>SUM(Monthly_Data!E127:E129)</f>
        <v>1638.8600000000001</v>
      </c>
      <c r="F47" s="35">
        <f>SUM(Monthly_Data!F127:F129)</f>
        <v>656.81</v>
      </c>
      <c r="G47" s="35">
        <f>SUM(Monthly_Data!G127:G129)</f>
        <v>2090.2980000000002</v>
      </c>
      <c r="H47" s="35">
        <f>SUM(Monthly_Data!H127:H129)</f>
        <v>329.52099999999996</v>
      </c>
      <c r="I47" s="35">
        <f>SUM(Monthly_Data!I127:I129)</f>
        <v>0</v>
      </c>
      <c r="J47" s="35"/>
      <c r="K47" s="35"/>
      <c r="L47" s="35">
        <f>SUM(Monthly_Data!L127:L129)</f>
        <v>3435.88</v>
      </c>
      <c r="M47" s="35"/>
      <c r="N47" s="134"/>
      <c r="O47" s="134"/>
      <c r="P47" s="35">
        <f>SUM(Monthly_Data!P127:P129)</f>
        <v>35068.708999999995</v>
      </c>
      <c r="S47" s="11"/>
    </row>
    <row r="48" spans="1:19" x14ac:dyDescent="0.25">
      <c r="A48" s="78">
        <v>40330</v>
      </c>
      <c r="B48" s="37">
        <f>SUM(Monthly_Data!B130:B132)</f>
        <v>12377.483999999999</v>
      </c>
      <c r="C48" s="37">
        <f>SUM(Monthly_Data!C130:C132)</f>
        <v>15164</v>
      </c>
      <c r="D48" s="37">
        <f>SUM(Monthly_Data!D130:D132)</f>
        <v>937.17000000000007</v>
      </c>
      <c r="E48" s="37">
        <f>SUM(Monthly_Data!E130:E132)</f>
        <v>1565.4</v>
      </c>
      <c r="F48" s="37">
        <f>SUM(Monthly_Data!F130:F132)</f>
        <v>517.42499999999995</v>
      </c>
      <c r="G48" s="37">
        <f>SUM(Monthly_Data!G130:G132)</f>
        <v>1640.3530000000001</v>
      </c>
      <c r="H48" s="37">
        <f>SUM(Monthly_Data!H130:H132)</f>
        <v>357.036</v>
      </c>
      <c r="I48" s="37">
        <f>SUM(Monthly_Data!I130:I132)</f>
        <v>0</v>
      </c>
      <c r="J48" s="37"/>
      <c r="K48" s="37"/>
      <c r="L48" s="37">
        <f>SUM(Monthly_Data!L130:L132)</f>
        <v>2187.0100000000002</v>
      </c>
      <c r="M48" s="37"/>
      <c r="N48" s="135"/>
      <c r="O48" s="150"/>
      <c r="P48" s="37">
        <f>SUM(Monthly_Data!P130:P132)</f>
        <v>34745.877999999997</v>
      </c>
      <c r="S48" s="11"/>
    </row>
    <row r="49" spans="1:19" x14ac:dyDescent="0.25">
      <c r="A49" s="78">
        <v>40422</v>
      </c>
      <c r="B49" s="37">
        <f>SUM(Monthly_Data!B133:B135)</f>
        <v>4972.1049000000003</v>
      </c>
      <c r="C49" s="37">
        <f>SUM(Monthly_Data!C133:C135)</f>
        <v>22123.5</v>
      </c>
      <c r="D49" s="37">
        <f>SUM(Monthly_Data!D133:D135)</f>
        <v>1039.01</v>
      </c>
      <c r="E49" s="37">
        <f>SUM(Monthly_Data!E133:E135)</f>
        <v>933.4799999999999</v>
      </c>
      <c r="F49" s="37">
        <f>SUM(Monthly_Data!F133:F135)</f>
        <v>216.70500000000001</v>
      </c>
      <c r="G49" s="37">
        <f>SUM(Monthly_Data!G133:G135)</f>
        <v>960.28600000000006</v>
      </c>
      <c r="H49" s="37">
        <f>SUM(Monthly_Data!H133:H135)</f>
        <v>716.971</v>
      </c>
      <c r="I49" s="37">
        <f>SUM(Monthly_Data!I133:I135)</f>
        <v>0</v>
      </c>
      <c r="J49" s="37"/>
      <c r="K49" s="37"/>
      <c r="L49" s="37">
        <f>SUM(Monthly_Data!L133:L135)</f>
        <v>2615.768</v>
      </c>
      <c r="M49" s="37"/>
      <c r="N49" s="135"/>
      <c r="O49" s="150"/>
      <c r="P49" s="37">
        <f>SUM(Monthly_Data!P133:P135)</f>
        <v>33577.8249</v>
      </c>
      <c r="S49" s="11"/>
    </row>
    <row r="50" spans="1:19" x14ac:dyDescent="0.25">
      <c r="A50" s="78">
        <v>40513</v>
      </c>
      <c r="B50" s="37">
        <f>SUM(Monthly_Data!B136:B138)</f>
        <v>10947.93</v>
      </c>
      <c r="C50" s="37">
        <f>SUM(Monthly_Data!C136:C138)</f>
        <v>13291.600000000002</v>
      </c>
      <c r="D50" s="37">
        <f>SUM(Monthly_Data!D136:D138)</f>
        <v>1360.87</v>
      </c>
      <c r="E50" s="37">
        <f>SUM(Monthly_Data!E136:E138)</f>
        <v>1063.1003000000001</v>
      </c>
      <c r="F50" s="37">
        <f>SUM(Monthly_Data!F136:F138)</f>
        <v>155.13</v>
      </c>
      <c r="G50" s="37">
        <f>SUM(Monthly_Data!G136:G138)</f>
        <v>2200.3199999999997</v>
      </c>
      <c r="H50" s="37">
        <f>SUM(Monthly_Data!H136:H138)</f>
        <v>322.16399999999999</v>
      </c>
      <c r="I50" s="37">
        <f>SUM(Monthly_Data!I136:I138)</f>
        <v>0</v>
      </c>
      <c r="J50" s="37"/>
      <c r="K50" s="37"/>
      <c r="L50" s="37">
        <f>SUM(Monthly_Data!L136:L138)</f>
        <v>9297.6550000000025</v>
      </c>
      <c r="M50" s="37"/>
      <c r="N50" s="135"/>
      <c r="O50" s="150"/>
      <c r="P50" s="37">
        <f>SUM(Monthly_Data!P136:P138)</f>
        <v>38638.7693</v>
      </c>
      <c r="S50" s="11"/>
    </row>
    <row r="51" spans="1:19" x14ac:dyDescent="0.25">
      <c r="A51" s="78">
        <v>40603</v>
      </c>
      <c r="B51" s="35">
        <f>SUM(Monthly_Data!B139:B141)</f>
        <v>12725.202000000001</v>
      </c>
      <c r="C51" s="35">
        <f>SUM(Monthly_Data!C139:C141)</f>
        <v>10242.200000000001</v>
      </c>
      <c r="D51" s="35">
        <f>SUM(Monthly_Data!D139:D141)</f>
        <v>1685.2069999999999</v>
      </c>
      <c r="E51" s="35">
        <f>SUM(Monthly_Data!E139:E141)</f>
        <v>1332.93</v>
      </c>
      <c r="F51" s="35">
        <f>SUM(Monthly_Data!F139:F141)</f>
        <v>208.66500000000002</v>
      </c>
      <c r="G51" s="35">
        <f>SUM(Monthly_Data!G139:G141)</f>
        <v>2220.7570000000001</v>
      </c>
      <c r="H51" s="35">
        <f>SUM(Monthly_Data!H139:H141)</f>
        <v>361.2</v>
      </c>
      <c r="I51" s="35">
        <f>SUM(Monthly_Data!I139:I141)</f>
        <v>0</v>
      </c>
      <c r="J51" s="35"/>
      <c r="K51" s="35"/>
      <c r="L51" s="35">
        <f>SUM(Monthly_Data!L139:L141)</f>
        <v>6567.5730000000003</v>
      </c>
      <c r="M51" s="35"/>
      <c r="N51" s="134"/>
      <c r="O51" s="134"/>
      <c r="P51" s="35">
        <f>SUM(Monthly_Data!P139:P141)</f>
        <v>35343.733999999997</v>
      </c>
      <c r="S51" s="11"/>
    </row>
    <row r="52" spans="1:19" x14ac:dyDescent="0.25">
      <c r="A52" s="78">
        <v>40695</v>
      </c>
      <c r="B52" s="37">
        <f>SUM(Monthly_Data!B142:B144)</f>
        <v>11744.865</v>
      </c>
      <c r="C52" s="37">
        <f>SUM(Monthly_Data!C142:C144)</f>
        <v>16494.3</v>
      </c>
      <c r="D52" s="37">
        <f>SUM(Monthly_Data!D142:D144)</f>
        <v>1039.3800000000001</v>
      </c>
      <c r="E52" s="37">
        <f>SUM(Monthly_Data!E142:E144)</f>
        <v>1430.83</v>
      </c>
      <c r="F52" s="37">
        <f>SUM(Monthly_Data!F142:F144)</f>
        <v>279.34500000000003</v>
      </c>
      <c r="G52" s="37">
        <f>SUM(Monthly_Data!G142:G144)</f>
        <v>2964.4364719999999</v>
      </c>
      <c r="H52" s="37">
        <f>SUM(Monthly_Data!H142:H144)</f>
        <v>383.12400000000002</v>
      </c>
      <c r="I52" s="37">
        <f>SUM(Monthly_Data!I142:I144)</f>
        <v>0</v>
      </c>
      <c r="J52" s="37"/>
      <c r="K52" s="37"/>
      <c r="L52" s="37">
        <f>SUM(Monthly_Data!L142:L144)</f>
        <v>4595.4220000000005</v>
      </c>
      <c r="M52" s="37"/>
      <c r="N52" s="135"/>
      <c r="O52" s="150"/>
      <c r="P52" s="37">
        <f>SUM(Monthly_Data!P142:P144)</f>
        <v>38931.702471999997</v>
      </c>
      <c r="S52" s="11"/>
    </row>
    <row r="53" spans="1:19" x14ac:dyDescent="0.25">
      <c r="A53" s="78">
        <v>40787</v>
      </c>
      <c r="B53" s="37">
        <f>SUM(Monthly_Data!B145:B147)</f>
        <v>8445.8739999999998</v>
      </c>
      <c r="C53" s="37">
        <f>SUM(Monthly_Data!C145:C147)</f>
        <v>19218.2</v>
      </c>
      <c r="D53" s="37">
        <f>SUM(Monthly_Data!D145:D147)</f>
        <v>951.2299999999999</v>
      </c>
      <c r="E53" s="37">
        <f>SUM(Monthly_Data!E145:E147)</f>
        <v>876.44999999999993</v>
      </c>
      <c r="F53" s="37">
        <f>SUM(Monthly_Data!F145:F147)</f>
        <v>209.7</v>
      </c>
      <c r="G53" s="37">
        <f>SUM(Monthly_Data!G145:G147)</f>
        <v>3172.9537399999999</v>
      </c>
      <c r="H53" s="37">
        <f>SUM(Monthly_Data!H145:H147)</f>
        <v>364.63200000000001</v>
      </c>
      <c r="I53" s="37">
        <f>SUM(Monthly_Data!I145:I147)</f>
        <v>0</v>
      </c>
      <c r="J53" s="37"/>
      <c r="K53" s="37"/>
      <c r="L53" s="37">
        <f>SUM(Monthly_Data!L145:L147)</f>
        <v>1196.24</v>
      </c>
      <c r="M53" s="37"/>
      <c r="N53" s="135"/>
      <c r="O53" s="150"/>
      <c r="P53" s="37">
        <f>SUM(Monthly_Data!P145:P147)</f>
        <v>34435.279739999998</v>
      </c>
      <c r="S53" s="11"/>
    </row>
    <row r="54" spans="1:19" x14ac:dyDescent="0.25">
      <c r="A54" s="78">
        <v>40878</v>
      </c>
      <c r="B54" s="37">
        <f>SUM(Monthly_Data!B148:B150)</f>
        <v>13659.691500000001</v>
      </c>
      <c r="C54" s="37">
        <f>SUM(Monthly_Data!C148:C150)</f>
        <v>11589</v>
      </c>
      <c r="D54" s="37">
        <f>SUM(Monthly_Data!D148:D150)</f>
        <v>1320.6599999999999</v>
      </c>
      <c r="E54" s="37">
        <f>SUM(Monthly_Data!E148:E150)</f>
        <v>1500.1799999999998</v>
      </c>
      <c r="F54" s="37">
        <f>SUM(Monthly_Data!F148:F150)</f>
        <v>714.13499999999999</v>
      </c>
      <c r="G54" s="37">
        <f>SUM(Monthly_Data!G148:G150)</f>
        <v>2743.0542599999999</v>
      </c>
      <c r="H54" s="37">
        <f>SUM(Monthly_Data!H148:H150)</f>
        <v>367.524</v>
      </c>
      <c r="I54" s="37">
        <f>SUM(Monthly_Data!I148:I150)</f>
        <v>0</v>
      </c>
      <c r="J54" s="37"/>
      <c r="K54" s="37"/>
      <c r="L54" s="37">
        <f>SUM(Monthly_Data!L148:L150)</f>
        <v>545.57000000000005</v>
      </c>
      <c r="M54" s="37"/>
      <c r="N54" s="135"/>
      <c r="O54" s="150"/>
      <c r="P54" s="37">
        <f>SUM(Monthly_Data!P148:P150)</f>
        <v>32439.814760000001</v>
      </c>
      <c r="S54" s="11"/>
    </row>
    <row r="55" spans="1:19" x14ac:dyDescent="0.25">
      <c r="A55" s="78">
        <v>40969</v>
      </c>
      <c r="B55" s="35">
        <f>SUM(Monthly_Data!B151:B153)</f>
        <v>15029.6685</v>
      </c>
      <c r="C55" s="35">
        <f>SUM(Monthly_Data!C151:C153)</f>
        <v>18972.3</v>
      </c>
      <c r="D55" s="35">
        <f>SUM(Monthly_Data!D151:D153)</f>
        <v>856.6</v>
      </c>
      <c r="E55" s="35">
        <f>SUM(Monthly_Data!E151:E153)</f>
        <v>1517.52</v>
      </c>
      <c r="F55" s="35">
        <f>SUM(Monthly_Data!F151:F153)</f>
        <v>257.41500000000002</v>
      </c>
      <c r="G55" s="35">
        <f>SUM(Monthly_Data!G151:G153)</f>
        <v>2404.165</v>
      </c>
      <c r="H55" s="35">
        <f>SUM(Monthly_Data!H151:H153)</f>
        <v>408.34799999999996</v>
      </c>
      <c r="I55" s="35">
        <f>SUM(Monthly_Data!I151:I153)</f>
        <v>0</v>
      </c>
      <c r="J55" s="35"/>
      <c r="K55" s="35"/>
      <c r="L55" s="35">
        <f>SUM(Monthly_Data!L151:L153)</f>
        <v>0</v>
      </c>
      <c r="M55" s="35"/>
      <c r="N55" s="134"/>
      <c r="O55" s="134"/>
      <c r="P55" s="35">
        <f>SUM(Monthly_Data!P151:P153)</f>
        <v>39446.016499999998</v>
      </c>
      <c r="S55" s="11"/>
    </row>
    <row r="56" spans="1:19" x14ac:dyDescent="0.25">
      <c r="A56" s="78">
        <v>41061</v>
      </c>
      <c r="B56" s="37">
        <f>SUM(Monthly_Data!B154:B156)</f>
        <v>14639.982</v>
      </c>
      <c r="C56" s="37">
        <f>SUM(Monthly_Data!C154:C156)</f>
        <v>16261.3</v>
      </c>
      <c r="D56" s="37">
        <f>SUM(Monthly_Data!D154:D156)</f>
        <v>1687.53</v>
      </c>
      <c r="E56" s="37">
        <f>SUM(Monthly_Data!E154:E156)</f>
        <v>1699.5</v>
      </c>
      <c r="F56" s="37">
        <f>SUM(Monthly_Data!F154:F156)</f>
        <v>411.94500000000005</v>
      </c>
      <c r="G56" s="37">
        <f>SUM(Monthly_Data!G154:G156)</f>
        <v>2347.6769999999997</v>
      </c>
      <c r="H56" s="37">
        <f>SUM(Monthly_Data!H154:H156)</f>
        <v>338.19600000000003</v>
      </c>
      <c r="I56" s="37">
        <f>SUM(Monthly_Data!I154:I156)</f>
        <v>0</v>
      </c>
      <c r="J56" s="37"/>
      <c r="K56" s="37"/>
      <c r="L56" s="37">
        <f>SUM(Monthly_Data!L154:L156)</f>
        <v>63.89</v>
      </c>
      <c r="M56" s="37"/>
      <c r="N56" s="135"/>
      <c r="O56" s="150"/>
      <c r="P56" s="37">
        <f>SUM(Monthly_Data!P154:P156)</f>
        <v>37450.020000000004</v>
      </c>
      <c r="S56" s="11"/>
    </row>
    <row r="57" spans="1:19" x14ac:dyDescent="0.25">
      <c r="A57" s="78">
        <v>41153</v>
      </c>
      <c r="B57" s="37">
        <f>SUM(Monthly_Data!B157:B159)</f>
        <v>9096.1869999999999</v>
      </c>
      <c r="C57" s="37">
        <f>SUM(Monthly_Data!C157:C159)</f>
        <v>15172.3</v>
      </c>
      <c r="D57" s="37">
        <f>SUM(Monthly_Data!D157:D159)</f>
        <v>1840.98</v>
      </c>
      <c r="E57" s="37">
        <f>SUM(Monthly_Data!E157:E159)</f>
        <v>1190.44</v>
      </c>
      <c r="F57" s="37">
        <f>SUM(Monthly_Data!F157:F159)</f>
        <v>229.245</v>
      </c>
      <c r="G57" s="37">
        <f>SUM(Monthly_Data!G157:G159)</f>
        <v>2144.3780000000002</v>
      </c>
      <c r="H57" s="37">
        <f>SUM(Monthly_Data!H157:H159)</f>
        <v>287.54399999999998</v>
      </c>
      <c r="I57" s="37">
        <f>SUM(Monthly_Data!I157:I159)</f>
        <v>0</v>
      </c>
      <c r="J57" s="37"/>
      <c r="K57" s="37"/>
      <c r="L57" s="37">
        <f>SUM(Monthly_Data!L157:L159)</f>
        <v>1653.5900000000001</v>
      </c>
      <c r="M57" s="37"/>
      <c r="N57" s="135"/>
      <c r="O57" s="150"/>
      <c r="P57" s="37">
        <f>SUM(Monthly_Data!P157:P159)</f>
        <v>31614.663999999997</v>
      </c>
      <c r="S57" s="11"/>
    </row>
    <row r="58" spans="1:19" x14ac:dyDescent="0.25">
      <c r="A58" s="78">
        <v>41244</v>
      </c>
      <c r="B58" s="37">
        <f>SUM(Monthly_Data!B160:B162)</f>
        <v>12562.94</v>
      </c>
      <c r="C58" s="37">
        <f>SUM(Monthly_Data!C160:C162)</f>
        <v>13326.900000000001</v>
      </c>
      <c r="D58" s="37">
        <f>SUM(Monthly_Data!D160:D162)</f>
        <v>2209.6000000000004</v>
      </c>
      <c r="E58" s="37">
        <f>SUM(Monthly_Data!E160:E162)</f>
        <v>832.68999999999994</v>
      </c>
      <c r="F58" s="37">
        <f>SUM(Monthly_Data!F160:F162)</f>
        <v>292.89</v>
      </c>
      <c r="G58" s="37">
        <f>SUM(Monthly_Data!G160:G162)</f>
        <v>2429.2249999999999</v>
      </c>
      <c r="H58" s="37">
        <f>SUM(Monthly_Data!H160:H162)</f>
        <v>359.74799999999999</v>
      </c>
      <c r="I58" s="37">
        <f>SUM(Monthly_Data!I160:I162)</f>
        <v>0</v>
      </c>
      <c r="J58" s="37"/>
      <c r="K58" s="37"/>
      <c r="L58" s="37">
        <f>SUM(Monthly_Data!L160:L162)</f>
        <v>1170.1199999999999</v>
      </c>
      <c r="M58" s="37"/>
      <c r="N58" s="135"/>
      <c r="O58" s="150"/>
      <c r="P58" s="37">
        <f>SUM(Monthly_Data!P160:P162)</f>
        <v>33184.112999999998</v>
      </c>
      <c r="S58" s="11"/>
    </row>
    <row r="59" spans="1:19" x14ac:dyDescent="0.25">
      <c r="A59" s="78">
        <v>41334</v>
      </c>
      <c r="B59" s="35">
        <f>SUM(Monthly_Data!B163:B165)</f>
        <v>13792.212</v>
      </c>
      <c r="C59" s="35">
        <f>SUM(Monthly_Data!C163:C165)</f>
        <v>11893.900000000001</v>
      </c>
      <c r="D59" s="35">
        <f>SUM(Monthly_Data!D163:D165)</f>
        <v>2355.75</v>
      </c>
      <c r="E59" s="35">
        <f>SUM(Monthly_Data!E163:E165)</f>
        <v>1139.75</v>
      </c>
      <c r="F59" s="35">
        <f>SUM(Monthly_Data!F163:F165)</f>
        <v>482.02499999999998</v>
      </c>
      <c r="G59" s="35">
        <f>SUM(Monthly_Data!G163:G165)</f>
        <v>2273.8009999999999</v>
      </c>
      <c r="H59" s="35">
        <f>SUM(Monthly_Data!H163:H165)</f>
        <v>254.352</v>
      </c>
      <c r="I59" s="35">
        <f>SUM(Monthly_Data!I163:I165)</f>
        <v>0</v>
      </c>
      <c r="J59" s="35"/>
      <c r="K59" s="35"/>
      <c r="L59" s="35">
        <f>SUM(Monthly_Data!L163:L165)</f>
        <v>1302</v>
      </c>
      <c r="M59" s="35"/>
      <c r="N59" s="134"/>
      <c r="O59" s="134"/>
      <c r="P59" s="35">
        <f>SUM(Monthly_Data!P163:P165)</f>
        <v>33493.79</v>
      </c>
      <c r="S59" s="11"/>
    </row>
    <row r="60" spans="1:19" x14ac:dyDescent="0.25">
      <c r="A60" s="78">
        <v>41426</v>
      </c>
      <c r="B60" s="37">
        <f>SUM(Monthly_Data!B166:B168)</f>
        <v>13981.359</v>
      </c>
      <c r="C60" s="37">
        <f>SUM(Monthly_Data!C166:C168)</f>
        <v>14883.7</v>
      </c>
      <c r="D60" s="37">
        <f>SUM(Monthly_Data!D166:D168)</f>
        <v>2672.83</v>
      </c>
      <c r="E60" s="37">
        <f>SUM(Monthly_Data!E166:E168)</f>
        <v>856.02</v>
      </c>
      <c r="F60" s="37">
        <f>SUM(Monthly_Data!F166:F168)</f>
        <v>535.15499999999997</v>
      </c>
      <c r="G60" s="37">
        <f>SUM(Monthly_Data!G166:G168)</f>
        <v>2345.692</v>
      </c>
      <c r="H60" s="37">
        <f>SUM(Monthly_Data!H166:H168)</f>
        <v>247.01999999999998</v>
      </c>
      <c r="I60" s="37">
        <f>SUM(Monthly_Data!I166:I168)</f>
        <v>0</v>
      </c>
      <c r="J60" s="37"/>
      <c r="K60" s="37"/>
      <c r="L60" s="37">
        <f>SUM(Monthly_Data!L166:L168)</f>
        <v>4122.3889999999992</v>
      </c>
      <c r="M60" s="37"/>
      <c r="N60" s="135"/>
      <c r="O60" s="150"/>
      <c r="P60" s="37">
        <f>SUM(Monthly_Data!P166:P168)</f>
        <v>39644.165000000001</v>
      </c>
      <c r="S60" s="11"/>
    </row>
    <row r="61" spans="1:19" x14ac:dyDescent="0.25">
      <c r="A61" s="78">
        <v>41518</v>
      </c>
      <c r="B61" s="37">
        <f>SUM(Monthly_Data!B169:B171)</f>
        <v>8739.2759999999998</v>
      </c>
      <c r="C61" s="37">
        <f>SUM(Monthly_Data!C169:C171)</f>
        <v>21150.82</v>
      </c>
      <c r="D61" s="37">
        <f>SUM(Monthly_Data!D169:D171)</f>
        <v>1916.5100000000002</v>
      </c>
      <c r="E61" s="37">
        <f>SUM(Monthly_Data!E169:E171)</f>
        <v>1020.91</v>
      </c>
      <c r="F61" s="37">
        <f>SUM(Monthly_Data!F169:F171)</f>
        <v>174.495</v>
      </c>
      <c r="G61" s="37">
        <f>SUM(Monthly_Data!G169:G171)</f>
        <v>2384.2049999999999</v>
      </c>
      <c r="H61" s="37">
        <f>SUM(Monthly_Data!H169:H171)</f>
        <v>235.99199999999999</v>
      </c>
      <c r="I61" s="37">
        <f>SUM(Monthly_Data!I169:I171)</f>
        <v>0</v>
      </c>
      <c r="J61" s="37"/>
      <c r="K61" s="37"/>
      <c r="L61" s="37">
        <f>SUM(Monthly_Data!L169:L171)</f>
        <v>6625.5170000000007</v>
      </c>
      <c r="M61" s="37"/>
      <c r="N61" s="135"/>
      <c r="O61" s="150"/>
      <c r="P61" s="37">
        <f>SUM(Monthly_Data!P169:P171)</f>
        <v>42247.724999999999</v>
      </c>
      <c r="S61" s="11"/>
    </row>
    <row r="62" spans="1:19" x14ac:dyDescent="0.25">
      <c r="A62" s="78">
        <v>41609</v>
      </c>
      <c r="B62" s="37">
        <f>SUM(Monthly_Data!B172:B174)</f>
        <v>12436.914000000001</v>
      </c>
      <c r="C62" s="37">
        <f>SUM(Monthly_Data!C172:C174)</f>
        <v>15938</v>
      </c>
      <c r="D62" s="37">
        <f>SUM(Monthly_Data!D172:D174)</f>
        <v>1654.17</v>
      </c>
      <c r="E62" s="37">
        <f>SUM(Monthly_Data!E172:E174)</f>
        <v>1377.92</v>
      </c>
      <c r="F62" s="37">
        <f>SUM(Monthly_Data!F172:F174)</f>
        <v>386.142</v>
      </c>
      <c r="G62" s="37">
        <f>SUM(Monthly_Data!G172:G174)</f>
        <v>2460.991</v>
      </c>
      <c r="H62" s="37">
        <f>SUM(Monthly_Data!H172:H174)</f>
        <v>254.22</v>
      </c>
      <c r="I62" s="37">
        <f>SUM(Monthly_Data!I172:I174)</f>
        <v>623.71199999999999</v>
      </c>
      <c r="J62" s="37"/>
      <c r="K62" s="37"/>
      <c r="L62" s="37">
        <f>SUM(Monthly_Data!L172:L174)</f>
        <v>8603.1490000000013</v>
      </c>
      <c r="M62" s="37"/>
      <c r="N62" s="135"/>
      <c r="O62" s="150"/>
      <c r="P62" s="37">
        <f>SUM(Monthly_Data!P172:P174)</f>
        <v>43735.218000000001</v>
      </c>
      <c r="S62" s="11"/>
    </row>
    <row r="63" spans="1:19" x14ac:dyDescent="0.25">
      <c r="A63" s="78">
        <v>41699</v>
      </c>
      <c r="B63" s="35">
        <f>SUM(Monthly_Data!B175:B177)</f>
        <v>16079.592000000001</v>
      </c>
      <c r="C63" s="35">
        <f>SUM(Monthly_Data!C175:C177)</f>
        <v>17454.099999999999</v>
      </c>
      <c r="D63" s="35">
        <f>SUM(Monthly_Data!D175:D177)</f>
        <v>2297.7800000000002</v>
      </c>
      <c r="E63" s="35">
        <f>SUM(Monthly_Data!E175:E177)</f>
        <v>1684.72</v>
      </c>
      <c r="F63" s="35">
        <f>SUM(Monthly_Data!F175:F177)</f>
        <v>394.86</v>
      </c>
      <c r="G63" s="35">
        <f>SUM(Monthly_Data!G175:G177)</f>
        <v>1899.809</v>
      </c>
      <c r="H63" s="35">
        <f>SUM(Monthly_Data!H175:H177)</f>
        <v>255.78000000000003</v>
      </c>
      <c r="I63" s="35">
        <f>SUM(Monthly_Data!I175:I177)</f>
        <v>702.04199999999992</v>
      </c>
      <c r="J63" s="35"/>
      <c r="K63" s="35"/>
      <c r="L63" s="35">
        <f>SUM(Monthly_Data!L175:L177)</f>
        <v>6776.0370000000003</v>
      </c>
      <c r="M63" s="35"/>
      <c r="N63" s="134"/>
      <c r="O63" s="134"/>
      <c r="P63" s="35">
        <f>SUM(Monthly_Data!P175:P177)</f>
        <v>47544.72</v>
      </c>
      <c r="R63" s="10"/>
      <c r="S63" s="11"/>
    </row>
    <row r="64" spans="1:19" x14ac:dyDescent="0.25">
      <c r="A64" s="78">
        <v>41791</v>
      </c>
      <c r="B64" s="37">
        <f>SUM(Monthly_Data!B178:B180)</f>
        <v>14006.757</v>
      </c>
      <c r="C64" s="37">
        <f>SUM(Monthly_Data!C178:C180)</f>
        <v>15336.32</v>
      </c>
      <c r="D64" s="37">
        <f>SUM(Monthly_Data!D178:D180)</f>
        <v>2249</v>
      </c>
      <c r="E64" s="37">
        <f>SUM(Monthly_Data!E178:E180)</f>
        <v>1534.54</v>
      </c>
      <c r="F64" s="37">
        <f>SUM(Monthly_Data!F178:F180)</f>
        <v>222.85000000000002</v>
      </c>
      <c r="G64" s="37">
        <f>SUM(Monthly_Data!G178:G180)</f>
        <v>4112.7430000000004</v>
      </c>
      <c r="H64" s="37">
        <f>SUM(Monthly_Data!H178:H180)</f>
        <v>283.524</v>
      </c>
      <c r="I64" s="37">
        <f>SUM(Monthly_Data!I178:I180)</f>
        <v>720.06200000000001</v>
      </c>
      <c r="J64" s="37"/>
      <c r="K64" s="37"/>
      <c r="L64" s="37">
        <f>SUM(Monthly_Data!L178:L180)</f>
        <v>6866.7</v>
      </c>
      <c r="M64" s="37"/>
      <c r="N64" s="135"/>
      <c r="O64" s="150"/>
      <c r="P64" s="37">
        <f>SUM(Monthly_Data!P178:P180)</f>
        <v>45332.495999999992</v>
      </c>
      <c r="R64" s="10"/>
      <c r="S64" s="11"/>
    </row>
    <row r="65" spans="1:43" x14ac:dyDescent="0.25">
      <c r="A65" s="78">
        <v>41883</v>
      </c>
      <c r="B65" s="37">
        <f>SUM(Monthly_Data!B181:B183)</f>
        <v>9556.6260000000002</v>
      </c>
      <c r="C65" s="37">
        <f>SUM(Monthly_Data!C181:C183)</f>
        <v>10562</v>
      </c>
      <c r="D65" s="37">
        <f>SUM(Monthly_Data!D181:D183)</f>
        <v>1343.3000000000002</v>
      </c>
      <c r="E65" s="37">
        <f>SUM(Monthly_Data!E181:E183)</f>
        <v>975.13</v>
      </c>
      <c r="F65" s="37">
        <f>SUM(Monthly_Data!F181:F183)</f>
        <v>151.965</v>
      </c>
      <c r="G65" s="37">
        <f>SUM(Monthly_Data!G181:G183)</f>
        <v>5399.8590000000004</v>
      </c>
      <c r="H65" s="37">
        <f>SUM(Monthly_Data!H181:H183)</f>
        <v>335.19600000000003</v>
      </c>
      <c r="I65" s="37">
        <f>SUM(Monthly_Data!I181:I183)</f>
        <v>539.78300000000002</v>
      </c>
      <c r="J65" s="37"/>
      <c r="K65" s="37"/>
      <c r="L65" s="37">
        <f>SUM(Monthly_Data!L181:L183)</f>
        <v>9016.5580000000009</v>
      </c>
      <c r="M65" s="37"/>
      <c r="N65" s="135"/>
      <c r="O65" s="150"/>
      <c r="P65" s="37">
        <f>SUM(Monthly_Data!P181:P183)</f>
        <v>37880.417000000001</v>
      </c>
      <c r="S65" s="11"/>
    </row>
    <row r="66" spans="1:43" x14ac:dyDescent="0.25">
      <c r="A66" s="78">
        <v>41974</v>
      </c>
      <c r="B66" s="37">
        <f>SUM(Monthly_Data!B184:B186)</f>
        <v>13168.868999999999</v>
      </c>
      <c r="C66" s="37">
        <f>SUM(Monthly_Data!C184:C186)</f>
        <v>10601.5</v>
      </c>
      <c r="D66" s="37">
        <f>SUM(Monthly_Data!D184:D186)</f>
        <v>2259.1999999999998</v>
      </c>
      <c r="E66" s="37">
        <f>SUM(Monthly_Data!E184:E186)</f>
        <v>1582.42</v>
      </c>
      <c r="F66" s="37">
        <f>SUM(Monthly_Data!F184:F186)</f>
        <v>275.01</v>
      </c>
      <c r="G66" s="37">
        <f>SUM(Monthly_Data!G184:G186)</f>
        <v>3381.962</v>
      </c>
      <c r="H66" s="37">
        <f>SUM(Monthly_Data!H184:H186)</f>
        <v>259.31899999999996</v>
      </c>
      <c r="I66" s="37">
        <f>SUM(Monthly_Data!I184:I186)</f>
        <v>701.4</v>
      </c>
      <c r="J66" s="37"/>
      <c r="K66" s="37"/>
      <c r="L66" s="37">
        <f>SUM(Monthly_Data!L184:L186)</f>
        <v>10860.991</v>
      </c>
      <c r="M66" s="37"/>
      <c r="N66" s="135"/>
      <c r="O66" s="150"/>
      <c r="P66" s="37">
        <f>SUM(Monthly_Data!P184:P186)</f>
        <v>43090.671000000002</v>
      </c>
      <c r="S66" s="11"/>
    </row>
    <row r="67" spans="1:43" x14ac:dyDescent="0.25">
      <c r="A67" s="78">
        <v>42064</v>
      </c>
      <c r="B67" s="35">
        <f>SUM(Monthly_Data!B187:B189)</f>
        <v>14497.287</v>
      </c>
      <c r="C67" s="35">
        <f>SUM(Monthly_Data!C187:C189)</f>
        <v>16049.7</v>
      </c>
      <c r="D67" s="35">
        <f>SUM(Monthly_Data!D187:D189)</f>
        <v>2539.3999999999996</v>
      </c>
      <c r="E67" s="35">
        <f>SUM(Monthly_Data!E187:E189)</f>
        <v>1912.82</v>
      </c>
      <c r="F67" s="35">
        <f>SUM(Monthly_Data!F187:F189)</f>
        <v>280.005</v>
      </c>
      <c r="G67" s="35">
        <f>SUM(Monthly_Data!G187:G189)</f>
        <v>1987.6669999999999</v>
      </c>
      <c r="H67" s="35">
        <f>SUM(Monthly_Data!H187:H189)</f>
        <v>249.92399999999998</v>
      </c>
      <c r="I67" s="35">
        <f>SUM(Monthly_Data!I187:I189)</f>
        <v>555.5</v>
      </c>
      <c r="J67" s="35"/>
      <c r="K67" s="35"/>
      <c r="L67" s="35">
        <f>SUM(Monthly_Data!L187:L189)</f>
        <v>5232.723</v>
      </c>
      <c r="M67" s="35"/>
      <c r="N67" s="134"/>
      <c r="O67" s="134"/>
      <c r="P67" s="35">
        <f>SUM(Monthly_Data!P187:P189)</f>
        <v>43305.025999999998</v>
      </c>
      <c r="S67" s="11"/>
    </row>
    <row r="68" spans="1:43" x14ac:dyDescent="0.25">
      <c r="A68" s="78">
        <v>42156</v>
      </c>
      <c r="B68" s="37">
        <f>SUM(Monthly_Data!B190:B192)</f>
        <v>16035.795</v>
      </c>
      <c r="C68" s="37">
        <f>SUM(Monthly_Data!C190:C192)</f>
        <v>13260.1</v>
      </c>
      <c r="D68" s="37">
        <f>SUM(Monthly_Data!D190:D192)</f>
        <v>2437.4830000000002</v>
      </c>
      <c r="E68" s="37">
        <f>SUM(Monthly_Data!E190:E192)</f>
        <v>1989.7000000000003</v>
      </c>
      <c r="F68" s="37">
        <f>SUM(Monthly_Data!F190:F192)</f>
        <v>528.21</v>
      </c>
      <c r="G68" s="37">
        <f>SUM(Monthly_Data!G190:G192)</f>
        <v>3971.4440000000004</v>
      </c>
      <c r="H68" s="37">
        <f>SUM(Monthly_Data!H190:H192)</f>
        <v>53.975999999999999</v>
      </c>
      <c r="I68" s="37">
        <f>SUM(Monthly_Data!I190:I192)</f>
        <v>718.9</v>
      </c>
      <c r="J68" s="37"/>
      <c r="K68" s="37"/>
      <c r="L68" s="37">
        <f>SUM(Monthly_Data!L190:L192)</f>
        <v>4585.2969999999996</v>
      </c>
      <c r="M68" s="37"/>
      <c r="N68" s="135"/>
      <c r="O68" s="150"/>
      <c r="P68" s="37">
        <f>SUM(Monthly_Data!P190:P192)</f>
        <v>43580.904999999999</v>
      </c>
      <c r="S68" s="11"/>
    </row>
    <row r="69" spans="1:43" x14ac:dyDescent="0.25">
      <c r="A69" s="78">
        <v>42248</v>
      </c>
      <c r="B69" s="37">
        <f>SUM(Monthly_Data!B193:B195)</f>
        <v>10869.2538</v>
      </c>
      <c r="C69" s="37">
        <f>SUM(Monthly_Data!C193:C195)</f>
        <v>14553.100000000002</v>
      </c>
      <c r="D69" s="37">
        <f>SUM(Monthly_Data!D193:D195)</f>
        <v>1361.6</v>
      </c>
      <c r="E69" s="37">
        <f>SUM(Monthly_Data!E193:E195)</f>
        <v>1039.74</v>
      </c>
      <c r="F69" s="37">
        <f>SUM(Monthly_Data!F193:F195)</f>
        <v>184.42500000000001</v>
      </c>
      <c r="G69" s="37">
        <f>SUM(Monthly_Data!G193:G195)</f>
        <v>2679.3310000000001</v>
      </c>
      <c r="H69" s="37">
        <f>SUM(Monthly_Data!H193:H195)</f>
        <v>0</v>
      </c>
      <c r="I69" s="37">
        <f>SUM(Monthly_Data!I193:I195)</f>
        <v>710.1</v>
      </c>
      <c r="J69" s="37"/>
      <c r="K69" s="37"/>
      <c r="L69" s="37">
        <f>SUM(Monthly_Data!L193:L195)</f>
        <v>8041.88</v>
      </c>
      <c r="M69" s="37"/>
      <c r="N69" s="135"/>
      <c r="O69" s="150"/>
      <c r="P69" s="37">
        <f>SUM(Monthly_Data!P193:P195)</f>
        <v>39439.429799999998</v>
      </c>
      <c r="S69" s="11"/>
    </row>
    <row r="70" spans="1:43" x14ac:dyDescent="0.25">
      <c r="A70" s="78">
        <v>42339</v>
      </c>
      <c r="B70" s="37">
        <f>SUM(Monthly_Data!B196:B198)</f>
        <v>12944.137999999999</v>
      </c>
      <c r="C70" s="37">
        <f>SUM(Monthly_Data!C196:C198)</f>
        <v>9362</v>
      </c>
      <c r="D70" s="37">
        <f>SUM(Monthly_Data!D196:D198)</f>
        <v>1896.2</v>
      </c>
      <c r="E70" s="37">
        <f>SUM(Monthly_Data!E196:E198)</f>
        <v>1823.1399999999999</v>
      </c>
      <c r="F70" s="37">
        <f>SUM(Monthly_Data!F196:F198)</f>
        <v>317.77499999999998</v>
      </c>
      <c r="G70" s="37">
        <f>SUM(Monthly_Data!G196:G198)</f>
        <v>1730.1119999999999</v>
      </c>
      <c r="H70" s="37">
        <f>SUM(Monthly_Data!H196:H198)</f>
        <v>0</v>
      </c>
      <c r="I70" s="37">
        <f>SUM(Monthly_Data!I196:I198)</f>
        <v>747.3</v>
      </c>
      <c r="J70" s="37"/>
      <c r="K70" s="37"/>
      <c r="L70" s="37">
        <f>SUM(Monthly_Data!L196:L198)</f>
        <v>10838.558000000001</v>
      </c>
      <c r="M70" s="37"/>
      <c r="N70" s="135"/>
      <c r="O70" s="150"/>
      <c r="P70" s="37">
        <f>SUM(Monthly_Data!P196:P198)</f>
        <v>39659.222999999998</v>
      </c>
      <c r="S70" s="11"/>
    </row>
    <row r="71" spans="1:43" x14ac:dyDescent="0.25">
      <c r="A71" s="78">
        <v>42430</v>
      </c>
      <c r="B71" s="35">
        <f>SUM(Monthly_Data!B199:B201)</f>
        <v>15091.293</v>
      </c>
      <c r="C71" s="35">
        <f>SUM(Monthly_Data!C199:C201)</f>
        <v>12716.5</v>
      </c>
      <c r="D71" s="35">
        <f>SUM(Monthly_Data!D199:D201)</f>
        <v>640.20000000000005</v>
      </c>
      <c r="E71" s="35">
        <f>SUM(Monthly_Data!E199:E201)</f>
        <v>2033.8899999999999</v>
      </c>
      <c r="F71" s="35">
        <f>SUM(Monthly_Data!F199:F201)</f>
        <v>364.28999999999996</v>
      </c>
      <c r="G71" s="35">
        <f>SUM(Monthly_Data!G199:G201)</f>
        <v>2395.9760000000001</v>
      </c>
      <c r="H71" s="35">
        <f>SUM(Monthly_Data!H199:H201)</f>
        <v>0</v>
      </c>
      <c r="I71" s="35">
        <f>SUM(Monthly_Data!I199:I201)</f>
        <v>652.70000000000005</v>
      </c>
      <c r="J71" s="35"/>
      <c r="K71" s="35"/>
      <c r="L71" s="35">
        <f>SUM(Monthly_Data!L199:L201)</f>
        <v>4773.8639999999996</v>
      </c>
      <c r="M71" s="35"/>
      <c r="N71" s="134"/>
      <c r="O71" s="134"/>
      <c r="P71" s="35">
        <f>SUM(Monthly_Data!P199:P201)</f>
        <v>38668.713000000003</v>
      </c>
      <c r="S71" s="11"/>
    </row>
    <row r="72" spans="1:43" x14ac:dyDescent="0.25">
      <c r="A72" s="78">
        <v>42522</v>
      </c>
      <c r="B72" s="37">
        <f>SUM(Monthly_Data!B202:B204)</f>
        <v>13758.42</v>
      </c>
      <c r="C72" s="37">
        <f>SUM(Monthly_Data!C202:C204)</f>
        <v>21646.7</v>
      </c>
      <c r="D72" s="37">
        <f>SUM(Monthly_Data!D202:D204)</f>
        <v>1602.7</v>
      </c>
      <c r="E72" s="37">
        <f>SUM(Monthly_Data!E202:E204)</f>
        <v>1383.44</v>
      </c>
      <c r="F72" s="37">
        <f>SUM(Monthly_Data!F202:F204)</f>
        <v>339.84000000000003</v>
      </c>
      <c r="G72" s="37">
        <f>SUM(Monthly_Data!G202:G204)</f>
        <v>2176.6314400000001</v>
      </c>
      <c r="H72" s="37">
        <f>SUM(Monthly_Data!H202:H204)</f>
        <v>9.3360000000000003</v>
      </c>
      <c r="I72" s="37">
        <f>SUM(Monthly_Data!I202:I204)</f>
        <v>833.6</v>
      </c>
      <c r="J72" s="37"/>
      <c r="K72" s="37"/>
      <c r="L72" s="37">
        <f>SUM(Monthly_Data!L202:L204)</f>
        <v>2679.5709999999999</v>
      </c>
      <c r="M72" s="37"/>
      <c r="N72" s="135"/>
      <c r="O72" s="150"/>
      <c r="P72" s="37">
        <f>SUM(Monthly_Data!P202:P204)</f>
        <v>44430.238440000001</v>
      </c>
      <c r="R72" s="14"/>
      <c r="S72" s="11"/>
      <c r="AQ72" s="10">
        <f>9114*100/8688</f>
        <v>104.90331491712708</v>
      </c>
    </row>
    <row r="73" spans="1:43" x14ac:dyDescent="0.25">
      <c r="A73" s="78">
        <v>42614</v>
      </c>
      <c r="B73" s="37">
        <f>SUM(Monthly_Data!B205:B207)</f>
        <v>8170.9079999999994</v>
      </c>
      <c r="C73" s="37">
        <f>SUM(Monthly_Data!C205:C207)</f>
        <v>20085.5</v>
      </c>
      <c r="D73" s="37">
        <f>SUM(Monthly_Data!D205:D207)</f>
        <v>1635</v>
      </c>
      <c r="E73" s="37">
        <f>SUM(Monthly_Data!E205:E207)</f>
        <v>995.80000000000007</v>
      </c>
      <c r="F73" s="37">
        <f>SUM(Monthly_Data!F205:F207)</f>
        <v>117.09</v>
      </c>
      <c r="G73" s="37">
        <f>SUM(Monthly_Data!G205:G207)</f>
        <v>2996.1796400000003</v>
      </c>
      <c r="H73" s="37">
        <f>SUM(Monthly_Data!H205:H207)</f>
        <v>0</v>
      </c>
      <c r="I73" s="37">
        <f>SUM(Monthly_Data!I205:I207)</f>
        <v>671.745</v>
      </c>
      <c r="J73" s="37"/>
      <c r="K73" s="37"/>
      <c r="L73" s="37">
        <f>SUM(Monthly_Data!L205:L207)</f>
        <v>7062.7529999999997</v>
      </c>
      <c r="M73" s="37"/>
      <c r="N73" s="135"/>
      <c r="O73" s="150"/>
      <c r="P73" s="37">
        <f>SUM(Monthly_Data!P205:P207)</f>
        <v>41734.975640000004</v>
      </c>
      <c r="R73" s="14"/>
      <c r="S73" s="11"/>
    </row>
    <row r="74" spans="1:43" x14ac:dyDescent="0.25">
      <c r="A74" s="78">
        <v>42705</v>
      </c>
      <c r="B74" s="37">
        <f>SUM(Monthly_Data!B208:B210)</f>
        <v>9559.5779999999995</v>
      </c>
      <c r="C74" s="37">
        <f>SUM(Monthly_Data!C208:C210)</f>
        <v>16078.4</v>
      </c>
      <c r="D74" s="37">
        <f>SUM(Monthly_Data!D208:D210)</f>
        <v>1548.1</v>
      </c>
      <c r="E74" s="37">
        <f>SUM(Monthly_Data!E208:E210)</f>
        <v>1268.28</v>
      </c>
      <c r="F74" s="37">
        <f>SUM(Monthly_Data!F208:F210)</f>
        <v>185.64</v>
      </c>
      <c r="G74" s="37">
        <f>SUM(Monthly_Data!G208:G210)</f>
        <v>3582.4919999999997</v>
      </c>
      <c r="H74" s="37">
        <f>SUM(Monthly_Data!H208:H210)</f>
        <v>31.799999999999997</v>
      </c>
      <c r="I74" s="37">
        <f>SUM(Monthly_Data!I208:I210)</f>
        <v>738.4</v>
      </c>
      <c r="J74" s="37"/>
      <c r="K74" s="37"/>
      <c r="L74" s="37">
        <f>SUM(Monthly_Data!L208:L210)</f>
        <v>9569.6110000000008</v>
      </c>
      <c r="M74" s="37"/>
      <c r="N74" s="135"/>
      <c r="O74" s="150"/>
      <c r="P74" s="37">
        <f>SUM(Monthly_Data!P208:P210)</f>
        <v>42562.301000000007</v>
      </c>
      <c r="S74" s="11"/>
    </row>
    <row r="75" spans="1:43" x14ac:dyDescent="0.25">
      <c r="A75" s="78">
        <v>42795</v>
      </c>
      <c r="B75" s="35">
        <f>SUM(Monthly_Data!B211:B213)</f>
        <v>12744.458999999999</v>
      </c>
      <c r="C75" s="35">
        <f>SUM(Monthly_Data!C211:C213)</f>
        <v>9749.2199999999993</v>
      </c>
      <c r="D75" s="35">
        <f>SUM(Monthly_Data!D211:D213)</f>
        <v>1543.9</v>
      </c>
      <c r="E75" s="35">
        <f>SUM(Monthly_Data!E211:E213)</f>
        <v>1642.22</v>
      </c>
      <c r="F75" s="35">
        <f>SUM(Monthly_Data!F211:F213)</f>
        <v>249.465</v>
      </c>
      <c r="G75" s="35">
        <f>SUM(Monthly_Data!G211:G213)</f>
        <v>3666.7598900000003</v>
      </c>
      <c r="H75" s="35">
        <f>SUM(Monthly_Data!H211:H213)</f>
        <v>0</v>
      </c>
      <c r="I75" s="35">
        <f>SUM(Monthly_Data!I211:I213)</f>
        <v>778.7</v>
      </c>
      <c r="J75" s="35"/>
      <c r="K75" s="35"/>
      <c r="L75" s="35">
        <f>SUM(Monthly_Data!L211:L213)</f>
        <v>10054.842000000001</v>
      </c>
      <c r="M75" s="35"/>
      <c r="N75" s="134"/>
      <c r="O75" s="134"/>
      <c r="P75" s="35">
        <f>SUM(Monthly_Data!P211:P213)</f>
        <v>40429.565889999998</v>
      </c>
      <c r="R75" s="10"/>
      <c r="S75" s="11"/>
    </row>
    <row r="76" spans="1:43" x14ac:dyDescent="0.25">
      <c r="A76" s="78">
        <v>42887</v>
      </c>
      <c r="B76" s="37">
        <f>SUM(Monthly_Data!B214:B216)</f>
        <v>9258.3540000000012</v>
      </c>
      <c r="C76" s="37">
        <f>SUM(Monthly_Data!C214:C216)</f>
        <v>11168.6</v>
      </c>
      <c r="D76" s="37">
        <f>SUM(Monthly_Data!D214:D216)</f>
        <v>860.09999999999991</v>
      </c>
      <c r="E76" s="37">
        <f>SUM(Monthly_Data!E214:E216)</f>
        <v>1357.06</v>
      </c>
      <c r="F76" s="37">
        <f>SUM(Monthly_Data!F214:F216)</f>
        <v>294</v>
      </c>
      <c r="G76" s="37">
        <f>SUM(Monthly_Data!G214:G216)</f>
        <v>4463.17148</v>
      </c>
      <c r="H76" s="37">
        <f>SUM(Monthly_Data!H214:H216)</f>
        <v>0</v>
      </c>
      <c r="I76" s="37">
        <f>SUM(Monthly_Data!I214:I216)</f>
        <v>398.09999999999997</v>
      </c>
      <c r="J76" s="37"/>
      <c r="K76" s="37"/>
      <c r="L76" s="37">
        <f>SUM(Monthly_Data!L214:L216)</f>
        <v>10026.244000000001</v>
      </c>
      <c r="M76" s="37"/>
      <c r="N76" s="135"/>
      <c r="O76" s="150"/>
      <c r="P76" s="37">
        <f>SUM(Monthly_Data!P214:P216)</f>
        <v>37825.629480000003</v>
      </c>
      <c r="R76" s="10"/>
      <c r="S76" s="11"/>
    </row>
    <row r="77" spans="1:43" x14ac:dyDescent="0.25">
      <c r="A77" s="78">
        <v>42979</v>
      </c>
      <c r="B77" s="55">
        <v>5904.2970000000005</v>
      </c>
      <c r="C77" s="55">
        <v>10259.400000000001</v>
      </c>
      <c r="D77" s="55">
        <v>904.3</v>
      </c>
      <c r="E77" s="55">
        <v>759.6</v>
      </c>
      <c r="F77" s="55">
        <v>78.150000000000006</v>
      </c>
      <c r="G77" s="55">
        <v>4252.6526999999996</v>
      </c>
      <c r="H77" s="55">
        <v>0</v>
      </c>
      <c r="I77" s="55">
        <v>581.19999999999993</v>
      </c>
      <c r="J77" s="55">
        <v>0</v>
      </c>
      <c r="K77" s="55"/>
      <c r="L77" s="55">
        <v>17384.764999999999</v>
      </c>
      <c r="M77" s="55"/>
      <c r="N77" s="136"/>
      <c r="O77" s="136"/>
      <c r="P77" s="55">
        <v>40124.364699999998</v>
      </c>
      <c r="R77" s="10"/>
      <c r="S77" s="11"/>
    </row>
    <row r="78" spans="1:43" x14ac:dyDescent="0.25">
      <c r="A78" s="78">
        <v>43070</v>
      </c>
      <c r="B78" s="55">
        <v>9028.5010000000002</v>
      </c>
      <c r="C78" s="55">
        <v>4063.8</v>
      </c>
      <c r="D78" s="55">
        <v>952.69999999999993</v>
      </c>
      <c r="E78" s="55">
        <v>960.68999999999994</v>
      </c>
      <c r="F78" s="55">
        <v>102.855</v>
      </c>
      <c r="G78" s="55">
        <v>3807.8992399999997</v>
      </c>
      <c r="H78" s="55">
        <v>0</v>
      </c>
      <c r="I78" s="55">
        <v>408.20000000000005</v>
      </c>
      <c r="J78" s="55">
        <v>0</v>
      </c>
      <c r="K78" s="55"/>
      <c r="L78" s="55">
        <v>36374.821000000004</v>
      </c>
      <c r="M78" s="55"/>
      <c r="N78" s="136"/>
      <c r="O78" s="136"/>
      <c r="P78" s="55">
        <v>55699.466240000009</v>
      </c>
      <c r="R78" s="10"/>
      <c r="S78" s="11"/>
    </row>
    <row r="79" spans="1:43" x14ac:dyDescent="0.25">
      <c r="A79" s="78">
        <v>43160</v>
      </c>
      <c r="B79" s="35">
        <v>12182.94</v>
      </c>
      <c r="C79" s="35">
        <v>9040.1</v>
      </c>
      <c r="D79" s="35">
        <v>1436.7</v>
      </c>
      <c r="E79" s="35">
        <v>1242.4199999999998</v>
      </c>
      <c r="F79" s="35">
        <v>357.19499999999999</v>
      </c>
      <c r="G79" s="35">
        <v>4220.8</v>
      </c>
      <c r="H79" s="35">
        <v>39.479999999999997</v>
      </c>
      <c r="I79" s="35">
        <v>667.4</v>
      </c>
      <c r="J79" s="35">
        <v>0</v>
      </c>
      <c r="K79" s="35"/>
      <c r="L79" s="35">
        <v>26409.061999999998</v>
      </c>
      <c r="M79" s="35"/>
      <c r="N79" s="134"/>
      <c r="O79" s="134"/>
      <c r="P79" s="35">
        <v>55596.096999999994</v>
      </c>
      <c r="R79" s="10"/>
      <c r="S79" s="11"/>
    </row>
    <row r="80" spans="1:43" x14ac:dyDescent="0.25">
      <c r="A80" s="78">
        <v>43252</v>
      </c>
      <c r="B80" s="37">
        <v>14550.312</v>
      </c>
      <c r="C80" s="37">
        <v>19622.02</v>
      </c>
      <c r="D80" s="37">
        <v>569.4</v>
      </c>
      <c r="E80" s="37">
        <v>1066.6600000000001</v>
      </c>
      <c r="F80" s="37">
        <v>646.495</v>
      </c>
      <c r="G80" s="37">
        <v>2875.8455199999999</v>
      </c>
      <c r="H80" s="37">
        <v>116.52</v>
      </c>
      <c r="I80" s="37">
        <v>805.9</v>
      </c>
      <c r="J80" s="37">
        <v>191.3202</v>
      </c>
      <c r="K80" s="37"/>
      <c r="L80" s="37">
        <v>19370.157500000001</v>
      </c>
      <c r="M80" s="37"/>
      <c r="N80" s="135"/>
      <c r="O80" s="150"/>
      <c r="P80" s="37">
        <v>59814.630220000006</v>
      </c>
      <c r="R80" s="10"/>
      <c r="S80" s="11"/>
    </row>
    <row r="81" spans="1:19" x14ac:dyDescent="0.25">
      <c r="A81" s="78">
        <v>43344</v>
      </c>
      <c r="B81" s="37">
        <v>8819.527</v>
      </c>
      <c r="C81" s="37">
        <v>15568.7</v>
      </c>
      <c r="D81" s="37">
        <v>1038.7</v>
      </c>
      <c r="E81" s="37">
        <v>994.1099999999999</v>
      </c>
      <c r="F81" s="37">
        <v>227.1</v>
      </c>
      <c r="G81" s="37">
        <v>2946.6235200000001</v>
      </c>
      <c r="H81" s="37">
        <v>161.28</v>
      </c>
      <c r="I81" s="37">
        <v>760.4</v>
      </c>
      <c r="J81" s="37">
        <v>490.54199999999997</v>
      </c>
      <c r="K81" s="37"/>
      <c r="L81" s="37">
        <v>27173.783500000001</v>
      </c>
      <c r="M81" s="37"/>
      <c r="N81" s="135"/>
      <c r="O81" s="150"/>
      <c r="P81" s="37">
        <v>58180.766019999995</v>
      </c>
      <c r="R81" s="10"/>
      <c r="S81" s="11"/>
    </row>
    <row r="82" spans="1:19" x14ac:dyDescent="0.25">
      <c r="A82" s="78">
        <v>43435</v>
      </c>
      <c r="B82" s="37">
        <v>11073.404999999999</v>
      </c>
      <c r="C82" s="37">
        <v>14013.5</v>
      </c>
      <c r="D82" s="37">
        <v>1327.3</v>
      </c>
      <c r="E82" s="37">
        <v>995.86999999999989</v>
      </c>
      <c r="F82" s="37">
        <v>250.995</v>
      </c>
      <c r="G82" s="37">
        <v>3403.2022399999996</v>
      </c>
      <c r="H82" s="37">
        <v>130.92000000000002</v>
      </c>
      <c r="I82" s="37">
        <v>687.6</v>
      </c>
      <c r="J82" s="37">
        <v>551.822</v>
      </c>
      <c r="K82" s="37"/>
      <c r="L82" s="37">
        <v>26134.447</v>
      </c>
      <c r="M82" s="37"/>
      <c r="N82" s="135"/>
      <c r="O82" s="150"/>
      <c r="P82" s="37">
        <v>58569.06124000001</v>
      </c>
      <c r="R82" s="10"/>
      <c r="S82" s="11"/>
    </row>
    <row r="83" spans="1:19" x14ac:dyDescent="0.25">
      <c r="A83" s="78">
        <v>43525</v>
      </c>
      <c r="B83" s="37">
        <v>13348.503000000001</v>
      </c>
      <c r="C83" s="37">
        <v>13448.8</v>
      </c>
      <c r="D83" s="37">
        <v>1358.9</v>
      </c>
      <c r="E83" s="37">
        <v>1293.0999999999999</v>
      </c>
      <c r="F83" s="37">
        <v>223.33499999999998</v>
      </c>
      <c r="G83" s="37">
        <v>3094.9876000000004</v>
      </c>
      <c r="H83" s="37">
        <v>273.36</v>
      </c>
      <c r="I83" s="37">
        <v>564.5</v>
      </c>
      <c r="J83" s="37">
        <v>575.33399999999995</v>
      </c>
      <c r="K83" s="37"/>
      <c r="L83" s="37">
        <v>27507.710999999999</v>
      </c>
      <c r="M83" s="37"/>
      <c r="N83" s="135"/>
      <c r="O83" s="150"/>
      <c r="P83" s="37">
        <v>61688.530599999998</v>
      </c>
      <c r="R83" s="10"/>
      <c r="S83" s="11"/>
    </row>
    <row r="84" spans="1:19" x14ac:dyDescent="0.25">
      <c r="A84" s="78">
        <v>43617</v>
      </c>
      <c r="B84" s="37">
        <v>10417.176000000001</v>
      </c>
      <c r="C84" s="37">
        <v>10900.5</v>
      </c>
      <c r="D84" s="37">
        <v>1438.7999999999988</v>
      </c>
      <c r="E84" s="37">
        <v>1471.4899999999989</v>
      </c>
      <c r="F84" s="37">
        <v>273.7200000000002</v>
      </c>
      <c r="G84" s="37">
        <v>4728.2954</v>
      </c>
      <c r="H84" s="37">
        <v>174</v>
      </c>
      <c r="I84" s="37">
        <v>541.29999999999995</v>
      </c>
      <c r="J84" s="37">
        <v>537.46500000000003</v>
      </c>
      <c r="K84" s="37"/>
      <c r="L84" s="37">
        <v>35434.430999999997</v>
      </c>
      <c r="M84" s="37"/>
      <c r="N84" s="135"/>
      <c r="O84" s="150"/>
      <c r="P84" s="37">
        <v>65917.1774</v>
      </c>
      <c r="R84" s="10"/>
      <c r="S84" s="11"/>
    </row>
    <row r="85" spans="1:19" x14ac:dyDescent="0.25">
      <c r="A85" s="78">
        <v>43709</v>
      </c>
      <c r="B85" s="37">
        <f>Monthly_Data!B243+Monthly_Data!B242+Monthly_Data!B241</f>
        <v>7353.0240000000003</v>
      </c>
      <c r="C85" s="37">
        <f>Monthly_Data!C243+Monthly_Data!C242+Monthly_Data!C241</f>
        <v>13338.599999999999</v>
      </c>
      <c r="D85" s="37">
        <f>Monthly_Data!D243+Monthly_Data!D242+Monthly_Data!D241</f>
        <v>1271.9000000000001</v>
      </c>
      <c r="E85" s="37">
        <f>Monthly_Data!E243+Monthly_Data!E242+Monthly_Data!E241</f>
        <v>865.01990000000001</v>
      </c>
      <c r="F85" s="37">
        <f>Monthly_Data!F243+Monthly_Data!F242+Monthly_Data!F241</f>
        <v>102.78</v>
      </c>
      <c r="G85" s="37">
        <f>Monthly_Data!G243+Monthly_Data!G242+Monthly_Data!G241</f>
        <v>4507.4629999999997</v>
      </c>
      <c r="H85" s="37">
        <f>Monthly_Data!H243+Monthly_Data!H242+Monthly_Data!H241</f>
        <v>132.84</v>
      </c>
      <c r="I85" s="37">
        <f>Monthly_Data!I243+Monthly_Data!I242+Monthly_Data!I241</f>
        <v>516.26850000000002</v>
      </c>
      <c r="J85" s="37">
        <f>Monthly_Data!J243+Monthly_Data!J242+Monthly_Data!J241</f>
        <v>380.29399999999998</v>
      </c>
      <c r="K85" s="37"/>
      <c r="L85" s="37">
        <f>Monthly_Data!L243+Monthly_Data!L242+Monthly_Data!L241</f>
        <v>36873.082500000004</v>
      </c>
      <c r="M85" s="37"/>
      <c r="N85" s="135"/>
      <c r="O85" s="150"/>
      <c r="P85" s="37">
        <f>Monthly_Data!P243+Monthly_Data!P242+Monthly_Data!P241</f>
        <v>65341.271900000007</v>
      </c>
      <c r="R85" s="10"/>
      <c r="S85" s="11"/>
    </row>
    <row r="86" spans="1:19" x14ac:dyDescent="0.25">
      <c r="A86" s="78">
        <v>43800</v>
      </c>
      <c r="B86" s="37">
        <v>13101.291000000001</v>
      </c>
      <c r="C86" s="37">
        <v>15438.439999999999</v>
      </c>
      <c r="D86" s="37">
        <v>2064.6</v>
      </c>
      <c r="E86" s="37">
        <v>1660.66</v>
      </c>
      <c r="F86" s="37">
        <v>518.34</v>
      </c>
      <c r="G86" s="37">
        <v>4683.8054000000002</v>
      </c>
      <c r="H86" s="37">
        <v>183.12</v>
      </c>
      <c r="I86" s="37">
        <v>682.4</v>
      </c>
      <c r="J86" s="37">
        <v>579.81500000000005</v>
      </c>
      <c r="K86" s="37"/>
      <c r="L86" s="37">
        <v>23978.374500000002</v>
      </c>
      <c r="M86" s="111"/>
      <c r="N86" s="141"/>
      <c r="O86" s="166"/>
      <c r="P86" s="111">
        <v>62890.8459</v>
      </c>
      <c r="R86" s="10"/>
      <c r="S86" s="11"/>
    </row>
    <row r="87" spans="1:19" x14ac:dyDescent="0.25">
      <c r="A87" s="78">
        <v>43891</v>
      </c>
      <c r="B87" s="37">
        <v>13025.964</v>
      </c>
      <c r="C87" s="37">
        <v>30461.370000000003</v>
      </c>
      <c r="D87" s="37">
        <v>1359.3</v>
      </c>
      <c r="E87" s="37">
        <v>1473.37</v>
      </c>
      <c r="F87" s="37">
        <v>916.60500000000002</v>
      </c>
      <c r="G87" s="37">
        <v>3949.9350000000004</v>
      </c>
      <c r="H87" s="37">
        <v>191.64</v>
      </c>
      <c r="I87" s="37">
        <v>638.69999999999993</v>
      </c>
      <c r="J87" s="37">
        <v>56.244</v>
      </c>
      <c r="K87" s="37"/>
      <c r="L87" s="37">
        <v>13859.939</v>
      </c>
      <c r="M87" s="111"/>
      <c r="N87" s="141"/>
      <c r="O87" s="166"/>
      <c r="P87" s="111">
        <v>65888.366999999998</v>
      </c>
      <c r="R87" s="10"/>
      <c r="S87" s="11"/>
    </row>
    <row r="88" spans="1:19" x14ac:dyDescent="0.25">
      <c r="A88" s="78">
        <v>43983</v>
      </c>
      <c r="B88" s="37">
        <v>15685.131000000001</v>
      </c>
      <c r="C88" s="37">
        <v>29284.78</v>
      </c>
      <c r="D88" s="37">
        <v>413.3</v>
      </c>
      <c r="E88" s="37">
        <v>1725.63</v>
      </c>
      <c r="F88" s="37">
        <v>573.36</v>
      </c>
      <c r="G88" s="37">
        <v>4482.6507599999995</v>
      </c>
      <c r="H88" s="37">
        <v>12.72</v>
      </c>
      <c r="I88" s="37">
        <v>827</v>
      </c>
      <c r="J88" s="37">
        <v>328.863</v>
      </c>
      <c r="K88" s="37"/>
      <c r="L88" s="37">
        <v>15442.699000000001</v>
      </c>
      <c r="M88" s="111"/>
      <c r="N88" s="141"/>
      <c r="O88" s="166"/>
      <c r="P88" s="111">
        <v>68776.133759999997</v>
      </c>
      <c r="R88" s="10"/>
      <c r="S88" s="11"/>
    </row>
    <row r="89" spans="1:19" x14ac:dyDescent="0.25">
      <c r="A89" s="78">
        <v>44075</v>
      </c>
      <c r="B89" s="37">
        <v>9409.68</v>
      </c>
      <c r="C89" s="37">
        <v>20087.379999999997</v>
      </c>
      <c r="D89" s="37">
        <v>832.3</v>
      </c>
      <c r="E89" s="37">
        <v>850.24999999999989</v>
      </c>
      <c r="F89" s="37">
        <v>259.35000000000002</v>
      </c>
      <c r="G89" s="37">
        <v>4091.9241200000001</v>
      </c>
      <c r="H89" s="37">
        <v>24</v>
      </c>
      <c r="I89" s="37">
        <v>733.78750000000002</v>
      </c>
      <c r="J89" s="37">
        <v>618.71499999999992</v>
      </c>
      <c r="K89" s="37"/>
      <c r="L89" s="37">
        <v>28156.708000000002</v>
      </c>
      <c r="M89" s="111"/>
      <c r="N89" s="141"/>
      <c r="O89" s="166"/>
      <c r="P89" s="111">
        <v>65064.094620000003</v>
      </c>
      <c r="R89" s="10"/>
      <c r="S89" s="11"/>
    </row>
    <row r="90" spans="1:19" x14ac:dyDescent="0.25">
      <c r="A90" s="78">
        <v>44166</v>
      </c>
      <c r="B90" s="37">
        <f>Monthly_Data!B256+Monthly_Data!B257+Monthly_Data!B258</f>
        <v>8669.0519999999997</v>
      </c>
      <c r="C90" s="37">
        <f>Monthly_Data!C256+Monthly_Data!C257+Monthly_Data!C258</f>
        <v>16928.34</v>
      </c>
      <c r="D90" s="37">
        <f>Monthly_Data!D256+Monthly_Data!D257+Monthly_Data!D258</f>
        <v>1641.3999999999999</v>
      </c>
      <c r="E90" s="37">
        <f>Monthly_Data!E256+Monthly_Data!E257+Monthly_Data!E258</f>
        <v>948.86999999999989</v>
      </c>
      <c r="F90" s="37">
        <f>Monthly_Data!F256+Monthly_Data!F257+Monthly_Data!F258</f>
        <v>401.59500000000003</v>
      </c>
      <c r="G90" s="37">
        <f>Monthly_Data!G256+Monthly_Data!G257+Monthly_Data!G258</f>
        <v>3824.1415999999999</v>
      </c>
      <c r="H90" s="37">
        <f>Monthly_Data!H256+Monthly_Data!H257+Monthly_Data!H258</f>
        <v>72.72</v>
      </c>
      <c r="I90" s="37">
        <f>Monthly_Data!I256+Monthly_Data!I257+Monthly_Data!I258</f>
        <v>782.3</v>
      </c>
      <c r="J90" s="37">
        <f>Monthly_Data!J256+Monthly_Data!J257+Monthly_Data!J258</f>
        <v>421.07399999999996</v>
      </c>
      <c r="K90" s="37"/>
      <c r="L90" s="37">
        <f>Monthly_Data!L256+Monthly_Data!L257+Monthly_Data!L258</f>
        <v>29147.511999999999</v>
      </c>
      <c r="M90" s="37"/>
      <c r="N90" s="135"/>
      <c r="O90" s="150"/>
      <c r="P90" s="37">
        <f>Monthly_Data!P256+Monthly_Data!P257+Monthly_Data!P258</f>
        <v>62837.0046</v>
      </c>
      <c r="R90" s="10"/>
      <c r="S90" s="11"/>
    </row>
    <row r="91" spans="1:19" x14ac:dyDescent="0.25">
      <c r="A91" s="78">
        <v>44256</v>
      </c>
      <c r="B91" s="37">
        <v>7919.1630000000005</v>
      </c>
      <c r="C91" s="37">
        <v>20157.120000000003</v>
      </c>
      <c r="D91" s="37">
        <v>1348.9</v>
      </c>
      <c r="E91" s="37">
        <v>815.01</v>
      </c>
      <c r="F91" s="37">
        <v>320.26499999999999</v>
      </c>
      <c r="G91" s="37">
        <v>3402.50756</v>
      </c>
      <c r="H91" s="37">
        <v>0</v>
      </c>
      <c r="I91" s="37">
        <v>733.6</v>
      </c>
      <c r="J91" s="37">
        <v>547.97699999999998</v>
      </c>
      <c r="K91" s="37"/>
      <c r="L91" s="37">
        <v>25169.755500000003</v>
      </c>
      <c r="M91" s="37"/>
      <c r="N91" s="135"/>
      <c r="O91" s="150"/>
      <c r="P91" s="37">
        <f>SUM(B91:L91)</f>
        <v>60414.298060000001</v>
      </c>
      <c r="R91" s="10"/>
      <c r="S91" s="11"/>
    </row>
    <row r="92" spans="1:19" x14ac:dyDescent="0.25">
      <c r="A92" s="78">
        <v>44348</v>
      </c>
      <c r="B92" s="37">
        <v>8650.3829999999998</v>
      </c>
      <c r="C92" s="37">
        <v>20007.8</v>
      </c>
      <c r="D92" s="37">
        <v>850.8</v>
      </c>
      <c r="E92" s="37">
        <v>955.23</v>
      </c>
      <c r="F92" s="37">
        <v>0</v>
      </c>
      <c r="G92" s="37">
        <v>3419.0894399999997</v>
      </c>
      <c r="H92" s="37">
        <v>31.08</v>
      </c>
      <c r="I92" s="37">
        <v>644.29999999999995</v>
      </c>
      <c r="J92" s="37">
        <v>599.4</v>
      </c>
      <c r="K92" s="37"/>
      <c r="L92" s="37">
        <v>24802.065999999999</v>
      </c>
      <c r="M92" s="37"/>
      <c r="N92" s="135"/>
      <c r="O92" s="150"/>
      <c r="P92" s="37">
        <f t="shared" ref="P92:P94" si="0">SUM(B92:L92)</f>
        <v>59960.148440000004</v>
      </c>
      <c r="R92" s="10"/>
      <c r="S92" s="11"/>
    </row>
    <row r="93" spans="1:19" x14ac:dyDescent="0.25">
      <c r="A93" s="78">
        <v>44440</v>
      </c>
      <c r="B93" s="37">
        <v>5403.5429999999997</v>
      </c>
      <c r="C93" s="37">
        <v>19331.95</v>
      </c>
      <c r="D93" s="37">
        <v>959.3</v>
      </c>
      <c r="E93" s="37">
        <v>725.51199999999994</v>
      </c>
      <c r="F93" s="37">
        <v>257.77499999999998</v>
      </c>
      <c r="G93" s="37">
        <v>4273.7086399999998</v>
      </c>
      <c r="H93" s="37">
        <v>141.12</v>
      </c>
      <c r="I93" s="37">
        <v>639</v>
      </c>
      <c r="J93" s="37">
        <v>578.79499999999996</v>
      </c>
      <c r="K93" s="37"/>
      <c r="L93" s="37">
        <v>32289.892</v>
      </c>
      <c r="M93" s="37"/>
      <c r="N93" s="135"/>
      <c r="O93" s="150"/>
      <c r="P93" s="37">
        <f t="shared" si="0"/>
        <v>64600.59564</v>
      </c>
      <c r="R93" s="10"/>
      <c r="S93" s="11"/>
    </row>
    <row r="94" spans="1:19" x14ac:dyDescent="0.25">
      <c r="A94" s="78">
        <v>44532</v>
      </c>
      <c r="B94" s="37">
        <v>5388.7049999999999</v>
      </c>
      <c r="C94" s="37">
        <v>14432.72</v>
      </c>
      <c r="D94" s="37">
        <v>1527.1</v>
      </c>
      <c r="E94" s="37">
        <v>946.24</v>
      </c>
      <c r="F94" s="37">
        <v>349.60500000000002</v>
      </c>
      <c r="G94" s="37">
        <v>4194.8510399999996</v>
      </c>
      <c r="H94" s="37">
        <v>134.28</v>
      </c>
      <c r="I94" s="37">
        <v>450</v>
      </c>
      <c r="J94" s="37">
        <v>567.07500000000005</v>
      </c>
      <c r="K94" s="37"/>
      <c r="L94" s="37">
        <v>35733.237999999998</v>
      </c>
      <c r="M94" s="37"/>
      <c r="N94" s="135"/>
      <c r="O94" s="150"/>
      <c r="P94" s="37">
        <f t="shared" si="0"/>
        <v>63723.814039999997</v>
      </c>
      <c r="R94" s="11"/>
      <c r="S94" s="11"/>
    </row>
    <row r="95" spans="1:19" x14ac:dyDescent="0.25">
      <c r="A95" s="78">
        <v>44621</v>
      </c>
      <c r="B95" s="37">
        <v>6931.6379999999999</v>
      </c>
      <c r="C95" s="37">
        <v>20733.989999999998</v>
      </c>
      <c r="D95" s="37">
        <v>1648.3000000000002</v>
      </c>
      <c r="E95" s="37">
        <v>1324.3400000000001</v>
      </c>
      <c r="F95" s="37">
        <v>527.66999999999996</v>
      </c>
      <c r="G95" s="37">
        <v>4037.7605599999997</v>
      </c>
      <c r="H95" s="37">
        <v>120.72</v>
      </c>
      <c r="I95" s="37">
        <v>524</v>
      </c>
      <c r="J95" s="37">
        <v>592.88499999999999</v>
      </c>
      <c r="K95" s="37"/>
      <c r="L95" s="37">
        <v>30719.311000000002</v>
      </c>
      <c r="M95" s="166">
        <v>2767.7</v>
      </c>
      <c r="N95" s="166"/>
      <c r="O95" s="166"/>
      <c r="P95" s="166">
        <v>69928.314559999999</v>
      </c>
      <c r="R95" s="11"/>
      <c r="S95" s="11"/>
    </row>
    <row r="96" spans="1:19" x14ac:dyDescent="0.25">
      <c r="A96" s="78">
        <v>44713</v>
      </c>
      <c r="B96" s="37">
        <v>9224.607</v>
      </c>
      <c r="C96" s="37">
        <v>18034.32</v>
      </c>
      <c r="D96" s="37">
        <v>1646.9</v>
      </c>
      <c r="E96" s="37">
        <v>1451.01</v>
      </c>
      <c r="F96" s="37">
        <v>497.05500000000001</v>
      </c>
      <c r="G96" s="37">
        <v>2720.0050000000001</v>
      </c>
      <c r="H96" s="37">
        <v>81.240000000000009</v>
      </c>
      <c r="I96" s="37">
        <v>424</v>
      </c>
      <c r="J96" s="37">
        <v>618.27300000000002</v>
      </c>
      <c r="K96" s="37">
        <v>4625.28</v>
      </c>
      <c r="L96" s="37">
        <v>29930.549500000001</v>
      </c>
      <c r="M96" s="166">
        <v>3413</v>
      </c>
      <c r="N96" s="166"/>
      <c r="O96" s="166"/>
      <c r="P96" s="166">
        <v>72666.239499999996</v>
      </c>
      <c r="R96" s="11"/>
      <c r="S96" s="11"/>
    </row>
    <row r="97" spans="1:19" x14ac:dyDescent="0.25">
      <c r="A97" s="78">
        <v>44805</v>
      </c>
      <c r="B97" s="37">
        <v>6253.8</v>
      </c>
      <c r="C97" s="37">
        <v>10398.279999999999</v>
      </c>
      <c r="D97" s="37">
        <v>1424.9</v>
      </c>
      <c r="E97" s="37">
        <v>733.94</v>
      </c>
      <c r="F97" s="37">
        <v>143.73000000000002</v>
      </c>
      <c r="G97" s="37">
        <v>3614.5429999999997</v>
      </c>
      <c r="H97" s="37">
        <v>64.155315000000002</v>
      </c>
      <c r="I97" s="37">
        <v>396</v>
      </c>
      <c r="J97" s="37">
        <v>551.23400000000004</v>
      </c>
      <c r="K97" s="37">
        <v>17846.939999999999</v>
      </c>
      <c r="L97" s="37">
        <v>27720.759160000001</v>
      </c>
      <c r="M97" s="166">
        <v>3822.3969999999999</v>
      </c>
      <c r="N97" s="166"/>
      <c r="O97" s="166"/>
      <c r="P97" s="166">
        <v>72970.678474999993</v>
      </c>
      <c r="R97" s="11"/>
      <c r="S97" s="11"/>
    </row>
    <row r="98" spans="1:19" x14ac:dyDescent="0.25">
      <c r="A98" s="78">
        <v>44897</v>
      </c>
      <c r="B98" s="150">
        <v>8469</v>
      </c>
      <c r="C98" s="150">
        <v>11329</v>
      </c>
      <c r="D98" s="150">
        <v>888</v>
      </c>
      <c r="E98" s="150">
        <v>1198</v>
      </c>
      <c r="F98" s="150">
        <v>294</v>
      </c>
      <c r="G98" s="150">
        <v>4182</v>
      </c>
      <c r="H98" s="150">
        <v>0</v>
      </c>
      <c r="I98" s="150">
        <v>389</v>
      </c>
      <c r="J98" s="150">
        <v>592</v>
      </c>
      <c r="K98" s="150">
        <v>22668</v>
      </c>
      <c r="L98" s="150">
        <v>19588</v>
      </c>
      <c r="M98" s="150">
        <v>3008</v>
      </c>
      <c r="N98" s="150">
        <v>17</v>
      </c>
      <c r="O98" s="150"/>
      <c r="P98" s="150">
        <v>72621</v>
      </c>
      <c r="R98" s="11"/>
      <c r="S98" s="11"/>
    </row>
    <row r="99" spans="1:19" s="144" customFormat="1" x14ac:dyDescent="0.25">
      <c r="A99" s="78">
        <v>44988</v>
      </c>
      <c r="B99" s="141">
        <v>10171.455</v>
      </c>
      <c r="C99" s="141">
        <v>20637.48</v>
      </c>
      <c r="D99" s="141">
        <v>808.3</v>
      </c>
      <c r="E99" s="141">
        <v>1442.9</v>
      </c>
      <c r="F99" s="141">
        <v>507.22499999999997</v>
      </c>
      <c r="G99" s="141">
        <v>3060.5177999999996</v>
      </c>
      <c r="H99" s="141">
        <v>62.16</v>
      </c>
      <c r="I99" s="141">
        <v>354</v>
      </c>
      <c r="J99" s="141">
        <v>568.94499999999994</v>
      </c>
      <c r="K99" s="141">
        <v>25438.996800000001</v>
      </c>
      <c r="L99" s="141">
        <v>13468.214379999999</v>
      </c>
      <c r="M99" s="166">
        <v>2853.5291299999999</v>
      </c>
      <c r="N99" s="166">
        <v>223.77300000000002</v>
      </c>
      <c r="O99" s="166"/>
      <c r="P99" s="166">
        <v>79597.496109999993</v>
      </c>
      <c r="R99" s="147"/>
      <c r="S99" s="147"/>
    </row>
    <row r="100" spans="1:19" s="144" customFormat="1" x14ac:dyDescent="0.25">
      <c r="A100" s="78">
        <v>45081</v>
      </c>
      <c r="B100" s="141">
        <v>11765.838000000002</v>
      </c>
      <c r="C100" s="141">
        <v>24188.65</v>
      </c>
      <c r="D100" s="141">
        <v>190.1</v>
      </c>
      <c r="E100" s="141">
        <v>1370.56</v>
      </c>
      <c r="F100" s="141">
        <v>535.77</v>
      </c>
      <c r="G100" s="141">
        <v>3106.3630000000003</v>
      </c>
      <c r="H100" s="141">
        <v>94.92</v>
      </c>
      <c r="I100" s="141">
        <v>387</v>
      </c>
      <c r="J100" s="141">
        <v>38.49</v>
      </c>
      <c r="K100" s="141">
        <v>25431.94</v>
      </c>
      <c r="L100" s="141">
        <v>14983.652720000002</v>
      </c>
      <c r="M100" s="166">
        <v>3633</v>
      </c>
      <c r="N100" s="166">
        <v>158.08000000000001</v>
      </c>
      <c r="O100" s="166"/>
      <c r="P100" s="166">
        <v>85884.363719999994</v>
      </c>
      <c r="R100" s="147"/>
      <c r="S100" s="147"/>
    </row>
    <row r="101" spans="1:19" s="144" customFormat="1" x14ac:dyDescent="0.25">
      <c r="A101" s="78">
        <v>45174</v>
      </c>
      <c r="B101" s="166">
        <v>7318.08</v>
      </c>
      <c r="C101" s="166">
        <v>18938.66</v>
      </c>
      <c r="D101" s="166">
        <v>987.2</v>
      </c>
      <c r="E101" s="166">
        <v>893.43</v>
      </c>
      <c r="F101" s="166">
        <v>269.46000000000004</v>
      </c>
      <c r="G101" s="166">
        <v>4075.0280000000002</v>
      </c>
      <c r="H101" s="166">
        <v>24.36</v>
      </c>
      <c r="I101" s="166">
        <v>395</v>
      </c>
      <c r="J101" s="166">
        <v>403.44000000000005</v>
      </c>
      <c r="K101" s="166">
        <v>23840.106</v>
      </c>
      <c r="L101" s="166">
        <v>20572.88392</v>
      </c>
      <c r="M101" s="166">
        <v>3279</v>
      </c>
      <c r="N101" s="166">
        <v>509.54599999999999</v>
      </c>
      <c r="O101" s="166"/>
      <c r="P101" s="166">
        <v>81506.193919999991</v>
      </c>
      <c r="R101" s="147"/>
      <c r="S101" s="147"/>
    </row>
    <row r="102" spans="1:19" x14ac:dyDescent="0.25">
      <c r="A102" s="78">
        <v>45266</v>
      </c>
      <c r="B102" s="166">
        <v>7409.380000000001</v>
      </c>
      <c r="C102" s="166">
        <v>15874.059999999998</v>
      </c>
      <c r="D102" s="166">
        <v>1097.5</v>
      </c>
      <c r="E102" s="166">
        <v>1535</v>
      </c>
      <c r="F102" s="166">
        <v>516.43499999999995</v>
      </c>
      <c r="G102" s="166">
        <v>3337.2889999999998</v>
      </c>
      <c r="H102" s="166">
        <v>33.120000000000005</v>
      </c>
      <c r="I102" s="166">
        <v>416</v>
      </c>
      <c r="J102" s="166">
        <v>298.92500000000001</v>
      </c>
      <c r="K102" s="166">
        <v>24649.127</v>
      </c>
      <c r="L102" s="166">
        <v>11851.228999999999</v>
      </c>
      <c r="M102" s="166">
        <v>2699</v>
      </c>
      <c r="N102" s="166">
        <v>597.82299999999998</v>
      </c>
      <c r="O102" s="166">
        <v>16430.705999999998</v>
      </c>
      <c r="P102" s="167">
        <v>86745.593999999997</v>
      </c>
      <c r="R102" s="11"/>
      <c r="S102" s="11"/>
    </row>
    <row r="103" spans="1:19" s="144" customFormat="1" x14ac:dyDescent="0.25">
      <c r="A103" s="78">
        <v>45358</v>
      </c>
      <c r="B103" s="166">
        <v>10022.292000000001</v>
      </c>
      <c r="C103" s="166">
        <v>26257.72</v>
      </c>
      <c r="D103" s="166">
        <v>805.30000000000007</v>
      </c>
      <c r="E103" s="166">
        <v>1528.19</v>
      </c>
      <c r="F103" s="166">
        <v>656.02500000000009</v>
      </c>
      <c r="G103" s="166">
        <v>5576.3150000000005</v>
      </c>
      <c r="H103" s="166">
        <v>0</v>
      </c>
      <c r="I103" s="166">
        <v>373</v>
      </c>
      <c r="J103" s="166">
        <v>0</v>
      </c>
      <c r="K103" s="166">
        <v>26522.697</v>
      </c>
      <c r="L103" s="166">
        <v>0</v>
      </c>
      <c r="M103" s="166">
        <v>2651</v>
      </c>
      <c r="N103" s="166">
        <v>604.91</v>
      </c>
      <c r="O103" s="166">
        <v>18331.099999999999</v>
      </c>
      <c r="P103" s="167">
        <v>93328.548999999999</v>
      </c>
      <c r="R103" s="147"/>
      <c r="S103" s="147"/>
    </row>
    <row r="104" spans="1:19" s="144" customFormat="1" x14ac:dyDescent="0.25">
      <c r="A104" s="78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7"/>
      <c r="R104" s="147"/>
      <c r="S104" s="147"/>
    </row>
    <row r="105" spans="1:19" x14ac:dyDescent="0.25">
      <c r="A105" s="29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152"/>
      <c r="N105" s="152"/>
      <c r="O105" s="152"/>
      <c r="P105" s="173"/>
      <c r="Q105" s="14"/>
      <c r="S105" s="11"/>
    </row>
    <row r="106" spans="1:19" x14ac:dyDescent="0.25">
      <c r="A106" s="77" t="s">
        <v>12</v>
      </c>
      <c r="B106" s="24"/>
      <c r="C106" s="24"/>
      <c r="D106" s="24"/>
      <c r="E106" s="24"/>
      <c r="F106" s="24"/>
      <c r="G106" s="68"/>
      <c r="H106" s="68"/>
      <c r="I106" s="68"/>
      <c r="M106" s="146"/>
      <c r="N106" s="146"/>
      <c r="O106" s="146"/>
      <c r="P106" s="8"/>
      <c r="S106" s="14"/>
    </row>
    <row r="107" spans="1:19" x14ac:dyDescent="0.25">
      <c r="A107" s="26"/>
      <c r="B107" s="27"/>
      <c r="C107" s="27"/>
      <c r="D107" s="69"/>
      <c r="E107" s="70"/>
      <c r="F107" s="69"/>
      <c r="G107" s="69"/>
      <c r="H107" s="69"/>
      <c r="I107" s="69"/>
      <c r="J107" s="69"/>
      <c r="K107" s="69"/>
      <c r="L107" s="69"/>
      <c r="M107" s="69"/>
      <c r="N107" s="137"/>
      <c r="O107" s="154"/>
      <c r="P107" s="112"/>
      <c r="R107" s="11"/>
    </row>
    <row r="108" spans="1:19" x14ac:dyDescent="0.25">
      <c r="E108" s="3"/>
      <c r="P108" s="110"/>
      <c r="R108" s="11"/>
      <c r="S108" s="14"/>
    </row>
    <row r="109" spans="1:19" x14ac:dyDescent="0.25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R109" s="14"/>
    </row>
    <row r="110" spans="1:19" x14ac:dyDescent="0.25">
      <c r="B110" s="15"/>
      <c r="C110" s="11"/>
      <c r="D110" s="11"/>
      <c r="E110" s="16"/>
      <c r="F110" s="11"/>
      <c r="G110" s="15"/>
      <c r="H110" s="15"/>
      <c r="I110" s="15"/>
      <c r="J110" s="15"/>
      <c r="K110" s="15"/>
      <c r="L110" s="15"/>
      <c r="M110" s="15"/>
      <c r="N110" s="131"/>
      <c r="O110" s="149"/>
      <c r="P110" s="3"/>
    </row>
    <row r="111" spans="1:19" x14ac:dyDescent="0.25">
      <c r="F111" s="14"/>
      <c r="G111" s="9"/>
      <c r="H111" s="11"/>
      <c r="I111" s="11"/>
      <c r="J111" s="11"/>
      <c r="K111" s="11"/>
      <c r="L111" s="11"/>
      <c r="M111" s="11"/>
      <c r="N111" s="129"/>
      <c r="O111" s="147"/>
      <c r="P111" s="13"/>
    </row>
    <row r="112" spans="1:19" x14ac:dyDescent="0.25">
      <c r="C112" s="10"/>
      <c r="D112" s="76"/>
      <c r="E112" s="3"/>
      <c r="F112" s="15"/>
      <c r="G112" s="10"/>
      <c r="P112" s="20"/>
    </row>
    <row r="113" spans="3:18" x14ac:dyDescent="0.25">
      <c r="C113" s="7"/>
      <c r="D113" s="7"/>
      <c r="E113" s="20"/>
      <c r="F113" s="7"/>
      <c r="G113" s="17"/>
      <c r="H113" s="12"/>
      <c r="I113" s="12"/>
      <c r="J113" s="12"/>
      <c r="K113" s="12"/>
      <c r="L113" s="12"/>
      <c r="M113" s="12"/>
      <c r="N113" s="130"/>
      <c r="O113" s="148"/>
      <c r="P113" s="74"/>
      <c r="R113" s="11"/>
    </row>
    <row r="114" spans="3:18" x14ac:dyDescent="0.25">
      <c r="C114" s="7"/>
      <c r="D114" s="7"/>
      <c r="E114" s="21"/>
      <c r="F114" s="7"/>
      <c r="G114" s="7"/>
      <c r="H114" s="7"/>
      <c r="I114" s="7"/>
      <c r="J114" s="7"/>
      <c r="K114" s="7"/>
      <c r="L114" s="75"/>
      <c r="M114" s="75"/>
      <c r="N114" s="138"/>
      <c r="O114" s="155"/>
      <c r="P114" s="22"/>
      <c r="R114" s="11"/>
    </row>
    <row r="115" spans="3:18" x14ac:dyDescent="0.25">
      <c r="C115" s="23"/>
      <c r="D115" s="7"/>
      <c r="E115" s="20"/>
      <c r="F115" s="7"/>
      <c r="G115" s="7"/>
      <c r="H115" s="7"/>
      <c r="I115" s="7"/>
      <c r="J115" s="7"/>
      <c r="K115" s="7"/>
      <c r="L115" s="7"/>
      <c r="M115" s="7"/>
      <c r="N115" s="128"/>
      <c r="O115" s="146"/>
      <c r="P115" s="7"/>
    </row>
    <row r="116" spans="3:18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28"/>
      <c r="O116" s="146"/>
      <c r="P116" s="7"/>
    </row>
    <row r="117" spans="3:18" x14ac:dyDescent="0.25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28"/>
      <c r="O117" s="146"/>
      <c r="P117" s="7"/>
    </row>
    <row r="118" spans="3:18" x14ac:dyDescent="0.25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28"/>
      <c r="O118" s="146"/>
    </row>
    <row r="120" spans="3:18" x14ac:dyDescent="0.25">
      <c r="C120" s="19"/>
      <c r="D120" s="11"/>
    </row>
    <row r="121" spans="3:18" x14ac:dyDescent="0.25">
      <c r="C121" s="11"/>
    </row>
  </sheetData>
  <mergeCells count="1">
    <mergeCell ref="A5:P5"/>
  </mergeCells>
  <hyperlinks>
    <hyperlink ref="A1" location="Table_of_Contents!A1" display="Back to the table of content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53"/>
  <sheetViews>
    <sheetView topLeftCell="A33" workbookViewId="0">
      <selection activeCell="L41" sqref="L41"/>
    </sheetView>
  </sheetViews>
  <sheetFormatPr baseColWidth="10" defaultColWidth="21.6640625" defaultRowHeight="15.75" x14ac:dyDescent="0.25"/>
  <cols>
    <col min="1" max="1" width="14.33203125" customWidth="1"/>
    <col min="2" max="2" width="13.21875" customWidth="1"/>
    <col min="3" max="3" width="13.44140625" customWidth="1"/>
    <col min="4" max="4" width="13.109375" customWidth="1"/>
    <col min="5" max="5" width="12.21875" customWidth="1"/>
    <col min="6" max="6" width="13.21875" customWidth="1"/>
    <col min="7" max="7" width="14" customWidth="1"/>
    <col min="8" max="11" width="12.6640625" customWidth="1"/>
    <col min="12" max="12" width="19.109375" bestFit="1" customWidth="1"/>
    <col min="13" max="13" width="14.33203125" customWidth="1"/>
    <col min="14" max="15" width="14.33203125" style="144" customWidth="1"/>
    <col min="16" max="16" width="12.6640625" customWidth="1"/>
    <col min="17" max="17" width="14.21875" customWidth="1"/>
  </cols>
  <sheetData>
    <row r="1" spans="1:17" x14ac:dyDescent="0.25">
      <c r="A1" s="100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5"/>
      <c r="O1" s="145"/>
      <c r="P1" s="5"/>
      <c r="Q1" s="1"/>
    </row>
    <row r="2" spans="1:17" x14ac:dyDescent="0.25">
      <c r="A2" s="6" t="s">
        <v>19</v>
      </c>
      <c r="B2" s="7"/>
      <c r="C2" s="7"/>
      <c r="D2" s="18"/>
      <c r="E2" s="7"/>
      <c r="F2" s="7"/>
      <c r="G2" s="7"/>
      <c r="H2" s="7"/>
      <c r="I2" s="7"/>
      <c r="J2" s="7"/>
      <c r="K2" s="7"/>
      <c r="L2" s="7"/>
      <c r="M2" s="7"/>
      <c r="N2" s="146"/>
      <c r="O2" s="146"/>
      <c r="P2" s="8"/>
    </row>
    <row r="3" spans="1:17" x14ac:dyDescent="0.25">
      <c r="A3" s="104"/>
      <c r="B3" s="105"/>
      <c r="C3" s="105"/>
      <c r="D3" s="106"/>
      <c r="E3" s="105"/>
      <c r="F3" s="105"/>
      <c r="G3" s="107"/>
      <c r="H3" s="105"/>
      <c r="I3" s="105"/>
      <c r="J3" s="105"/>
      <c r="K3" s="105"/>
      <c r="L3" s="105"/>
      <c r="M3" s="105"/>
      <c r="N3" s="160"/>
      <c r="O3" s="160"/>
      <c r="P3" s="108" t="s">
        <v>36</v>
      </c>
    </row>
    <row r="4" spans="1:17" x14ac:dyDescent="0.25">
      <c r="A4" s="177" t="s">
        <v>62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/>
    </row>
    <row r="5" spans="1:17" x14ac:dyDescent="0.25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61"/>
      <c r="O5" s="161"/>
      <c r="P5" s="123"/>
    </row>
    <row r="6" spans="1:17" s="103" customFormat="1" x14ac:dyDescent="0.25">
      <c r="A6" s="102" t="s">
        <v>60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34</v>
      </c>
      <c r="G6" s="102" t="s">
        <v>4</v>
      </c>
      <c r="H6" s="102" t="s">
        <v>5</v>
      </c>
      <c r="I6" s="102" t="s">
        <v>37</v>
      </c>
      <c r="J6" s="102" t="s">
        <v>42</v>
      </c>
      <c r="K6" s="102" t="s">
        <v>69</v>
      </c>
      <c r="L6" s="102" t="s">
        <v>58</v>
      </c>
      <c r="M6" s="102" t="s">
        <v>67</v>
      </c>
      <c r="N6" s="163" t="s">
        <v>74</v>
      </c>
      <c r="O6" s="163" t="s">
        <v>71</v>
      </c>
      <c r="P6" s="102" t="s">
        <v>6</v>
      </c>
    </row>
    <row r="7" spans="1:17" x14ac:dyDescent="0.25">
      <c r="A7" s="83" t="s">
        <v>7</v>
      </c>
      <c r="B7" s="84">
        <v>35354.227999999996</v>
      </c>
      <c r="C7" s="84">
        <v>49316</v>
      </c>
      <c r="D7" s="84">
        <v>6205</v>
      </c>
      <c r="E7" s="84">
        <v>1540.6134999999999</v>
      </c>
      <c r="F7" s="84">
        <v>802.221</v>
      </c>
      <c r="G7" s="84">
        <v>5397.5990000000002</v>
      </c>
      <c r="H7" s="84">
        <v>760.14600000000007</v>
      </c>
      <c r="I7" s="84"/>
      <c r="J7" s="84"/>
      <c r="K7" s="84"/>
      <c r="L7" s="84"/>
      <c r="M7" s="84"/>
      <c r="N7" s="156"/>
      <c r="O7" s="156"/>
      <c r="P7" s="85">
        <f>SUM(B7:H7)</f>
        <v>99375.80750000001</v>
      </c>
    </row>
    <row r="8" spans="1:17" x14ac:dyDescent="0.25">
      <c r="A8" s="83" t="s">
        <v>8</v>
      </c>
      <c r="B8" s="84">
        <v>35354.227999999996</v>
      </c>
      <c r="C8" s="84">
        <v>49316</v>
      </c>
      <c r="D8" s="84">
        <v>6205</v>
      </c>
      <c r="E8" s="84">
        <v>1540.6134999999999</v>
      </c>
      <c r="F8" s="84">
        <v>802.221</v>
      </c>
      <c r="G8" s="84">
        <v>5397.5990000000002</v>
      </c>
      <c r="H8" s="84">
        <v>760.14600000000007</v>
      </c>
      <c r="I8" s="84"/>
      <c r="J8" s="84"/>
      <c r="K8" s="84"/>
      <c r="L8" s="84"/>
      <c r="M8" s="84"/>
      <c r="N8" s="156"/>
      <c r="O8" s="156"/>
      <c r="P8" s="85">
        <f>SUM(B8:H8)</f>
        <v>99375.80750000001</v>
      </c>
    </row>
    <row r="9" spans="1:17" x14ac:dyDescent="0.25">
      <c r="A9" s="83">
        <v>1997</v>
      </c>
      <c r="B9" s="84">
        <v>35354.227999999996</v>
      </c>
      <c r="C9" s="84">
        <v>49316</v>
      </c>
      <c r="D9" s="84">
        <v>6205</v>
      </c>
      <c r="E9" s="84">
        <v>1540.6134999999999</v>
      </c>
      <c r="F9" s="84">
        <v>802.221</v>
      </c>
      <c r="G9" s="84">
        <v>5397.5990000000002</v>
      </c>
      <c r="H9" s="84">
        <v>760.14600000000007</v>
      </c>
      <c r="I9" s="84"/>
      <c r="J9" s="84"/>
      <c r="K9" s="84"/>
      <c r="L9" s="84"/>
      <c r="M9" s="84"/>
      <c r="N9" s="156"/>
      <c r="O9" s="156"/>
      <c r="P9" s="85">
        <f>SUM(B9:H9)</f>
        <v>99375.80750000001</v>
      </c>
    </row>
    <row r="10" spans="1:17" x14ac:dyDescent="0.25">
      <c r="A10" s="83" t="s">
        <v>9</v>
      </c>
      <c r="B10" s="84">
        <v>35354.227999999996</v>
      </c>
      <c r="C10" s="84">
        <v>49316</v>
      </c>
      <c r="D10" s="84">
        <v>6205</v>
      </c>
      <c r="E10" s="84">
        <v>1540.6134999999999</v>
      </c>
      <c r="F10" s="84">
        <v>802.221</v>
      </c>
      <c r="G10" s="84">
        <v>5397.5990000000002</v>
      </c>
      <c r="H10" s="84">
        <v>760.14600000000007</v>
      </c>
      <c r="I10" s="84"/>
      <c r="J10" s="84"/>
      <c r="K10" s="84"/>
      <c r="L10" s="84"/>
      <c r="M10" s="84"/>
      <c r="N10" s="156"/>
      <c r="O10" s="156"/>
      <c r="P10" s="85">
        <f>SUM(B10:H10)</f>
        <v>99375.80750000001</v>
      </c>
    </row>
    <row r="11" spans="1:17" x14ac:dyDescent="0.25">
      <c r="A11" s="83" t="s">
        <v>10</v>
      </c>
      <c r="B11" s="84">
        <v>35354.227999999996</v>
      </c>
      <c r="C11" s="84">
        <v>49316</v>
      </c>
      <c r="D11" s="84">
        <v>6205</v>
      </c>
      <c r="E11" s="84">
        <v>1540.6134999999999</v>
      </c>
      <c r="F11" s="84">
        <v>802.221</v>
      </c>
      <c r="G11" s="84">
        <v>5397.5990000000002</v>
      </c>
      <c r="H11" s="84">
        <v>760.14600000000007</v>
      </c>
      <c r="I11" s="84"/>
      <c r="J11" s="84"/>
      <c r="K11" s="84"/>
      <c r="L11" s="84"/>
      <c r="M11" s="84"/>
      <c r="N11" s="156"/>
      <c r="O11" s="156"/>
      <c r="P11" s="85">
        <f>SUM(B11:H11)</f>
        <v>99375.80750000001</v>
      </c>
    </row>
    <row r="12" spans="1:17" x14ac:dyDescent="0.25">
      <c r="A12" s="83" t="s">
        <v>11</v>
      </c>
      <c r="B12" s="86">
        <f>SUM(Monthly_Data!B7:B18)</f>
        <v>49316.000000000007</v>
      </c>
      <c r="C12" s="86">
        <f>SUM(Monthly_Data!C7:C18)</f>
        <v>49316.000000000007</v>
      </c>
      <c r="D12" s="86">
        <f>SUM(Monthly_Data!D7:D18)</f>
        <v>6205.03</v>
      </c>
      <c r="E12" s="86">
        <f>SUM(Monthly_Data!E7:E18)</f>
        <v>1540.0975000000001</v>
      </c>
      <c r="F12" s="86">
        <f>SUM(Monthly_Data!F7:F18)</f>
        <v>802.221</v>
      </c>
      <c r="G12" s="86">
        <f>SUM(Monthly_Data!G7:G18)</f>
        <v>5397.5990000000002</v>
      </c>
      <c r="H12" s="86">
        <f>SUM(Monthly_Data!H7:H18)</f>
        <v>760.14600000000007</v>
      </c>
      <c r="I12" s="86">
        <f>SUM(Monthly_Data!I7:I18)</f>
        <v>0</v>
      </c>
      <c r="J12" s="86"/>
      <c r="K12" s="86"/>
      <c r="L12" s="86">
        <f>SUM(Monthly_Data!L7:L18)</f>
        <v>0</v>
      </c>
      <c r="M12" s="86"/>
      <c r="N12" s="157"/>
      <c r="O12" s="157"/>
      <c r="P12" s="86">
        <f>SUM(Monthly_Data!P7:P18)</f>
        <v>113337.09349999999</v>
      </c>
    </row>
    <row r="13" spans="1:17" x14ac:dyDescent="0.25">
      <c r="A13" s="83" t="s">
        <v>13</v>
      </c>
      <c r="B13" s="86">
        <f>SUM(Monthly_Data!B19:B30)</f>
        <v>39328.998</v>
      </c>
      <c r="C13" s="86">
        <f>SUM(Monthly_Data!C19:C30)</f>
        <v>62668.7</v>
      </c>
      <c r="D13" s="86">
        <f>SUM(Monthly_Data!D19:D30)</f>
        <v>2957.4</v>
      </c>
      <c r="E13" s="86">
        <f>SUM(Monthly_Data!E19:E30)</f>
        <v>1237.829</v>
      </c>
      <c r="F13" s="86">
        <f>SUM(Monthly_Data!F19:F30)</f>
        <v>1332.73</v>
      </c>
      <c r="G13" s="86">
        <f>SUM(Monthly_Data!G19:G30)</f>
        <v>6194.0950000000003</v>
      </c>
      <c r="H13" s="86">
        <f>SUM(Monthly_Data!H19:H30)</f>
        <v>828.95700000000011</v>
      </c>
      <c r="I13" s="86">
        <f>SUM(Monthly_Data!I19:I30)</f>
        <v>0</v>
      </c>
      <c r="J13" s="86"/>
      <c r="K13" s="86"/>
      <c r="L13" s="86">
        <f>SUM(Monthly_Data!L19:L30)</f>
        <v>0</v>
      </c>
      <c r="M13" s="86"/>
      <c r="N13" s="157"/>
      <c r="O13" s="157"/>
      <c r="P13" s="86">
        <f>SUM(Monthly_Data!P19:P30)</f>
        <v>114548.709</v>
      </c>
    </row>
    <row r="14" spans="1:17" x14ac:dyDescent="0.25">
      <c r="A14" s="83" t="s">
        <v>15</v>
      </c>
      <c r="B14" s="86">
        <f>SUM(Monthly_Data!B31:B42)</f>
        <v>46818.125999999989</v>
      </c>
      <c r="C14" s="86">
        <f>SUM(Monthly_Data!C31:C42)</f>
        <v>68082.432000000001</v>
      </c>
      <c r="D14" s="86">
        <f>SUM(Monthly_Data!D31:D42)</f>
        <v>3365.2919999999999</v>
      </c>
      <c r="E14" s="86">
        <f>SUM(Monthly_Data!E31:E42)</f>
        <v>1331.9099999999999</v>
      </c>
      <c r="F14" s="86">
        <f>SUM(Monthly_Data!F31:F42)</f>
        <v>1296.0249999999996</v>
      </c>
      <c r="G14" s="86">
        <f>SUM(Monthly_Data!G31:G42)</f>
        <v>5515.8509999999997</v>
      </c>
      <c r="H14" s="86">
        <f>SUM(Monthly_Data!H31:H42)</f>
        <v>890.46400000000006</v>
      </c>
      <c r="I14" s="86">
        <f>SUM(Monthly_Data!I31:I42)</f>
        <v>0</v>
      </c>
      <c r="J14" s="86"/>
      <c r="K14" s="86"/>
      <c r="L14" s="86">
        <f>SUM(Monthly_Data!L31:L42)</f>
        <v>0</v>
      </c>
      <c r="M14" s="86"/>
      <c r="N14" s="157"/>
      <c r="O14" s="157"/>
      <c r="P14" s="86">
        <f>SUM(Monthly_Data!P31:P42)</f>
        <v>127300.1</v>
      </c>
    </row>
    <row r="15" spans="1:17" x14ac:dyDescent="0.25">
      <c r="A15" s="83" t="s">
        <v>16</v>
      </c>
      <c r="B15" s="86">
        <f>SUM(Monthly_Data!B43:B54)</f>
        <v>43474.444000000003</v>
      </c>
      <c r="C15" s="86">
        <f>SUM(Monthly_Data!C43:C54)</f>
        <v>46632.800000000003</v>
      </c>
      <c r="D15" s="86">
        <f>SUM(Monthly_Data!D43:D54)</f>
        <v>3608.81</v>
      </c>
      <c r="E15" s="86">
        <f>SUM(Monthly_Data!E43:E54)</f>
        <v>1112.6914999999999</v>
      </c>
      <c r="F15" s="86">
        <f>SUM(Monthly_Data!F43:F54)</f>
        <v>1366.9050000000002</v>
      </c>
      <c r="G15" s="86">
        <f>SUM(Monthly_Data!G43:G54)</f>
        <v>4266.0820000000003</v>
      </c>
      <c r="H15" s="86">
        <f>SUM(Monthly_Data!H43:H54)</f>
        <v>1009.716</v>
      </c>
      <c r="I15" s="86">
        <f>SUM(Monthly_Data!I43:I54)</f>
        <v>0</v>
      </c>
      <c r="J15" s="86"/>
      <c r="K15" s="86"/>
      <c r="L15" s="86">
        <f>SUM(Monthly_Data!L43:L54)</f>
        <v>0</v>
      </c>
      <c r="M15" s="86"/>
      <c r="N15" s="157"/>
      <c r="O15" s="157"/>
      <c r="P15" s="86">
        <f>SUM(Monthly_Data!P43:P54)</f>
        <v>101471.4485</v>
      </c>
    </row>
    <row r="16" spans="1:17" x14ac:dyDescent="0.25">
      <c r="A16" s="83" t="s">
        <v>18</v>
      </c>
      <c r="B16" s="87">
        <f>SUM(Monthly_Data!B55:B66)</f>
        <v>39642.04</v>
      </c>
      <c r="C16" s="87">
        <f>SUM(Monthly_Data!C55:C66)</f>
        <v>43873.3</v>
      </c>
      <c r="D16" s="87">
        <f>SUM(Monthly_Data!D55:D66)</f>
        <v>1204.857</v>
      </c>
      <c r="E16" s="87">
        <f>SUM(Monthly_Data!E55:E66)</f>
        <v>966.66849999999977</v>
      </c>
      <c r="F16" s="87">
        <f>SUM(Monthly_Data!F55:F66)</f>
        <v>1323.1189999999999</v>
      </c>
      <c r="G16" s="87">
        <f>SUM(Monthly_Data!G55:G66)</f>
        <v>3845.8329999999996</v>
      </c>
      <c r="H16" s="87">
        <f>SUM(Monthly_Data!H55:H66)</f>
        <v>722.06299999999987</v>
      </c>
      <c r="I16" s="87">
        <f>SUM(Monthly_Data!I55:I66)</f>
        <v>0</v>
      </c>
      <c r="J16" s="87"/>
      <c r="K16" s="87"/>
      <c r="L16" s="87">
        <f>SUM(Monthly_Data!L55:L66)</f>
        <v>0</v>
      </c>
      <c r="M16" s="87"/>
      <c r="N16" s="158"/>
      <c r="O16" s="162"/>
      <c r="P16" s="87">
        <f>SUM(Monthly_Data!P55:P66)</f>
        <v>91577.880499999999</v>
      </c>
    </row>
    <row r="17" spans="1:16" x14ac:dyDescent="0.25">
      <c r="A17" s="83" t="s">
        <v>20</v>
      </c>
      <c r="B17" s="87">
        <f>SUM(Monthly_Data!B67:B78)</f>
        <v>41787.244000000006</v>
      </c>
      <c r="C17" s="87">
        <f>SUM(Monthly_Data!C67:C78)</f>
        <v>49616.1</v>
      </c>
      <c r="D17" s="87">
        <f>SUM(Monthly_Data!D67:D78)</f>
        <v>2704.4800000000005</v>
      </c>
      <c r="E17" s="87">
        <f>SUM(Monthly_Data!E67:E78)</f>
        <v>907.65549999999985</v>
      </c>
      <c r="F17" s="87">
        <f>SUM(Monthly_Data!F67:F78)</f>
        <v>1224.9120000000003</v>
      </c>
      <c r="G17" s="87">
        <f>SUM(Monthly_Data!G67:G78)</f>
        <v>3395.4009999999998</v>
      </c>
      <c r="H17" s="87">
        <f>SUM(Monthly_Data!H67:H78)</f>
        <v>630.846</v>
      </c>
      <c r="I17" s="87">
        <f>SUM(Monthly_Data!I67:I78)</f>
        <v>0</v>
      </c>
      <c r="J17" s="87"/>
      <c r="K17" s="87"/>
      <c r="L17" s="87">
        <f>SUM(Monthly_Data!L67:L78)</f>
        <v>0</v>
      </c>
      <c r="M17" s="87"/>
      <c r="N17" s="158"/>
      <c r="O17" s="162"/>
      <c r="P17" s="87">
        <f>SUM(Monthly_Data!P67:P78)</f>
        <v>100266.6385</v>
      </c>
    </row>
    <row r="18" spans="1:16" x14ac:dyDescent="0.25">
      <c r="A18" s="83" t="s">
        <v>21</v>
      </c>
      <c r="B18" s="87">
        <f>SUM(Monthly_Data!B79:B90)</f>
        <v>51223.75</v>
      </c>
      <c r="C18" s="87">
        <f>SUM(Monthly_Data!C79:C90)</f>
        <v>35822.9</v>
      </c>
      <c r="D18" s="87">
        <f>SUM(Monthly_Data!D79:D90)</f>
        <v>0</v>
      </c>
      <c r="E18" s="87">
        <f>SUM(Monthly_Data!E79:E90)</f>
        <v>0</v>
      </c>
      <c r="F18" s="87">
        <f>SUM(Monthly_Data!F79:F90)</f>
        <v>829.36940000000004</v>
      </c>
      <c r="G18" s="87">
        <f>SUM(Monthly_Data!G79:G90)</f>
        <v>4478.6560000000009</v>
      </c>
      <c r="H18" s="87">
        <f>SUM(Monthly_Data!H79:H90)</f>
        <v>981.46800000000007</v>
      </c>
      <c r="I18" s="87">
        <f>SUM(Monthly_Data!I79:I90)</f>
        <v>0</v>
      </c>
      <c r="J18" s="87"/>
      <c r="K18" s="87"/>
      <c r="L18" s="87">
        <f>SUM(Monthly_Data!L79:L90)</f>
        <v>0</v>
      </c>
      <c r="M18" s="87"/>
      <c r="N18" s="158"/>
      <c r="O18" s="162"/>
      <c r="P18" s="87">
        <f>SUM(Monthly_Data!P79:P90)</f>
        <v>93336.143399999986</v>
      </c>
    </row>
    <row r="19" spans="1:16" x14ac:dyDescent="0.25">
      <c r="A19" s="83" t="s">
        <v>22</v>
      </c>
      <c r="B19" s="87">
        <f>SUM(Monthly_Data!B91:B102)</f>
        <v>47352.096000000005</v>
      </c>
      <c r="C19" s="87">
        <f>SUM(Monthly_Data!C91:C102)</f>
        <v>59877.5</v>
      </c>
      <c r="D19" s="87">
        <f>SUM(Monthly_Data!D91:D102)</f>
        <v>2552.0599999999995</v>
      </c>
      <c r="E19" s="87">
        <f>SUM(Monthly_Data!E91:E102)</f>
        <v>1604.6699999999998</v>
      </c>
      <c r="F19" s="87">
        <f>SUM(Monthly_Data!F91:F102)</f>
        <v>1301.4161999999999</v>
      </c>
      <c r="G19" s="87">
        <f>SUM(Monthly_Data!G91:G102)</f>
        <v>4180.1090000000004</v>
      </c>
      <c r="H19" s="87">
        <f>SUM(Monthly_Data!H91:H102)</f>
        <v>590.57999999999993</v>
      </c>
      <c r="I19" s="87">
        <f>SUM(Monthly_Data!I91:I102)</f>
        <v>0</v>
      </c>
      <c r="J19" s="87"/>
      <c r="K19" s="87"/>
      <c r="L19" s="87">
        <f>SUM(Monthly_Data!L91:L102)</f>
        <v>0</v>
      </c>
      <c r="M19" s="87"/>
      <c r="N19" s="158"/>
      <c r="O19" s="162"/>
      <c r="P19" s="87">
        <f>SUM(Monthly_Data!P91:P102)</f>
        <v>117458.43120000001</v>
      </c>
    </row>
    <row r="20" spans="1:16" x14ac:dyDescent="0.25">
      <c r="A20" s="83" t="s">
        <v>23</v>
      </c>
      <c r="B20" s="87">
        <f>SUM(Monthly_Data!B103:B114)</f>
        <v>42371.272000000004</v>
      </c>
      <c r="C20" s="87">
        <f>SUM(Monthly_Data!C103:C114)</f>
        <v>55327.124000000003</v>
      </c>
      <c r="D20" s="87">
        <f>SUM(Monthly_Data!D103:D114)</f>
        <v>4254.4560000000001</v>
      </c>
      <c r="E20" s="87">
        <f>SUM(Monthly_Data!E103:E114)</f>
        <v>4280.8</v>
      </c>
      <c r="F20" s="87">
        <f>SUM(Monthly_Data!F103:F114)</f>
        <v>1025.7669999999998</v>
      </c>
      <c r="G20" s="87">
        <f>SUM(Monthly_Data!G103:G114)</f>
        <v>3648.547</v>
      </c>
      <c r="H20" s="87">
        <f>SUM(Monthly_Data!H103:H114)</f>
        <v>881.37400000000014</v>
      </c>
      <c r="I20" s="87">
        <f>SUM(Monthly_Data!I103:I114)</f>
        <v>0</v>
      </c>
      <c r="J20" s="87"/>
      <c r="K20" s="87"/>
      <c r="L20" s="87">
        <f>SUM(Monthly_Data!L103:L114)</f>
        <v>0</v>
      </c>
      <c r="M20" s="87"/>
      <c r="N20" s="158"/>
      <c r="O20" s="162"/>
      <c r="P20" s="87">
        <f>SUM(Monthly_Data!P103:P114)</f>
        <v>111789.34000000003</v>
      </c>
    </row>
    <row r="21" spans="1:16" x14ac:dyDescent="0.25">
      <c r="A21" s="83" t="s">
        <v>24</v>
      </c>
      <c r="B21" s="87">
        <f>SUM(Monthly_Data!B115:B126)</f>
        <v>48866.922000000006</v>
      </c>
      <c r="C21" s="87">
        <f>SUM(Monthly_Data!C115:C126)</f>
        <v>49234.599999999991</v>
      </c>
      <c r="D21" s="87">
        <f>SUM(Monthly_Data!D115:D126)</f>
        <v>5344.34</v>
      </c>
      <c r="E21" s="87">
        <f>SUM(Monthly_Data!E115:E126)</f>
        <v>5058.9600000000009</v>
      </c>
      <c r="F21" s="87">
        <f>SUM(Monthly_Data!F115:F126)</f>
        <v>1379.7250000000001</v>
      </c>
      <c r="G21" s="87">
        <f>SUM(Monthly_Data!G115:G126)</f>
        <v>5675.8629999999994</v>
      </c>
      <c r="H21" s="87">
        <f>SUM(Monthly_Data!H115:H126)</f>
        <v>1218.0479999999998</v>
      </c>
      <c r="I21" s="87">
        <f>SUM(Monthly_Data!I115:I126)</f>
        <v>0</v>
      </c>
      <c r="J21" s="87"/>
      <c r="K21" s="87"/>
      <c r="L21" s="87">
        <f>SUM(Monthly_Data!L115:L126)</f>
        <v>4368.84</v>
      </c>
      <c r="M21" s="87"/>
      <c r="N21" s="158"/>
      <c r="O21" s="162"/>
      <c r="P21" s="87">
        <f>SUM(Monthly_Data!P115:P126)</f>
        <v>121147.29800000001</v>
      </c>
    </row>
    <row r="22" spans="1:16" x14ac:dyDescent="0.25">
      <c r="A22" s="83" t="s">
        <v>25</v>
      </c>
      <c r="B22" s="87">
        <f>SUM(Monthly_Data!B127:B138)</f>
        <v>42106.658900000002</v>
      </c>
      <c r="C22" s="87">
        <f>SUM(Monthly_Data!C127:C138)</f>
        <v>62709.899999999994</v>
      </c>
      <c r="D22" s="87">
        <f>SUM(Monthly_Data!D127:D138)</f>
        <v>4314.45</v>
      </c>
      <c r="E22" s="87">
        <f>SUM(Monthly_Data!E127:E138)</f>
        <v>5200.8403000000008</v>
      </c>
      <c r="F22" s="87">
        <f>SUM(Monthly_Data!F127:F138)</f>
        <v>1546.07</v>
      </c>
      <c r="G22" s="87">
        <f>SUM(Monthly_Data!G127:G138)</f>
        <v>6891.2569999999996</v>
      </c>
      <c r="H22" s="87">
        <f>SUM(Monthly_Data!H127:H138)</f>
        <v>1725.6919999999998</v>
      </c>
      <c r="I22" s="87">
        <f>SUM(Monthly_Data!I127:I138)</f>
        <v>0</v>
      </c>
      <c r="J22" s="87"/>
      <c r="K22" s="87"/>
      <c r="L22" s="87">
        <f>SUM(Monthly_Data!L127:L138)</f>
        <v>17536.313000000002</v>
      </c>
      <c r="M22" s="87"/>
      <c r="N22" s="158"/>
      <c r="O22" s="162"/>
      <c r="P22" s="87">
        <f>SUM(Monthly_Data!P127:P138)</f>
        <v>142031.18119999999</v>
      </c>
    </row>
    <row r="23" spans="1:16" x14ac:dyDescent="0.25">
      <c r="A23" s="83" t="s">
        <v>26</v>
      </c>
      <c r="B23" s="87">
        <f>SUM(Monthly_Data!B139:B150)</f>
        <v>46575.6325</v>
      </c>
      <c r="C23" s="87">
        <f>SUM(Monthly_Data!C139:C150)</f>
        <v>57543.700000000004</v>
      </c>
      <c r="D23" s="87">
        <f>SUM(Monthly_Data!D139:D150)</f>
        <v>4996.4770000000008</v>
      </c>
      <c r="E23" s="87">
        <f>SUM(Monthly_Data!E139:E150)</f>
        <v>5140.3899999999994</v>
      </c>
      <c r="F23" s="87">
        <f>SUM(Monthly_Data!F139:F150)</f>
        <v>1411.845</v>
      </c>
      <c r="G23" s="87">
        <f>SUM(Monthly_Data!G139:G150)</f>
        <v>11101.201472000001</v>
      </c>
      <c r="H23" s="87">
        <f>SUM(Monthly_Data!H139:H150)</f>
        <v>1476.48</v>
      </c>
      <c r="I23" s="87">
        <f>SUM(Monthly_Data!I139:I150)</f>
        <v>0</v>
      </c>
      <c r="J23" s="87"/>
      <c r="K23" s="87"/>
      <c r="L23" s="87">
        <f>SUM(Monthly_Data!L139:L150)</f>
        <v>12904.805</v>
      </c>
      <c r="M23" s="87"/>
      <c r="N23" s="158"/>
      <c r="O23" s="162"/>
      <c r="P23" s="87">
        <f>SUM(Monthly_Data!P139:P150)</f>
        <v>141150.53097199998</v>
      </c>
    </row>
    <row r="24" spans="1:16" x14ac:dyDescent="0.25">
      <c r="A24" s="83" t="s">
        <v>27</v>
      </c>
      <c r="B24" s="87">
        <f>SUM(Monthly_Data!B151:B162)</f>
        <v>51328.777499999989</v>
      </c>
      <c r="C24" s="87">
        <f>SUM(Monthly_Data!C151:C162)</f>
        <v>63732.800000000003</v>
      </c>
      <c r="D24" s="87">
        <f>SUM(Monthly_Data!D151:D162)</f>
        <v>6594.7100000000009</v>
      </c>
      <c r="E24" s="87">
        <f>SUM(Monthly_Data!E151:E162)</f>
        <v>5240.1500000000005</v>
      </c>
      <c r="F24" s="87">
        <f>SUM(Monthly_Data!F151:F162)</f>
        <v>1191.4950000000001</v>
      </c>
      <c r="G24" s="87">
        <f>SUM(Monthly_Data!G151:G162)</f>
        <v>9325.4449999999979</v>
      </c>
      <c r="H24" s="87">
        <f>SUM(Monthly_Data!H151:H162)</f>
        <v>1393.8359999999998</v>
      </c>
      <c r="I24" s="87">
        <f>SUM(Monthly_Data!I151:I162)</f>
        <v>0</v>
      </c>
      <c r="J24" s="87"/>
      <c r="K24" s="87"/>
      <c r="L24" s="87">
        <f>SUM(Monthly_Data!L151:L162)</f>
        <v>2887.6</v>
      </c>
      <c r="M24" s="87"/>
      <c r="N24" s="158"/>
      <c r="O24" s="162"/>
      <c r="P24" s="87">
        <f>SUM(Monthly_Data!P151:P162)</f>
        <v>141694.81349999999</v>
      </c>
    </row>
    <row r="25" spans="1:16" x14ac:dyDescent="0.25">
      <c r="A25" s="83" t="s">
        <v>28</v>
      </c>
      <c r="B25" s="87">
        <f>SUM(Monthly_Data!B163:B174)</f>
        <v>48949.760999999991</v>
      </c>
      <c r="C25" s="87">
        <f>SUM(Monthly_Data!C163:C174)</f>
        <v>63866.42</v>
      </c>
      <c r="D25" s="87">
        <f>SUM(Monthly_Data!D163:D174)</f>
        <v>8599.26</v>
      </c>
      <c r="E25" s="87">
        <f>SUM(Monthly_Data!E163:E174)</f>
        <v>4394.5999999999995</v>
      </c>
      <c r="F25" s="87">
        <f>SUM(Monthly_Data!F163:F174)</f>
        <v>1577.817</v>
      </c>
      <c r="G25" s="87">
        <f>SUM(Monthly_Data!G163:G174)</f>
        <v>9464.6890000000003</v>
      </c>
      <c r="H25" s="87">
        <f>SUM(Monthly_Data!H163:H174)</f>
        <v>991.58399999999995</v>
      </c>
      <c r="I25" s="87">
        <f>SUM(Monthly_Data!I163:I174)</f>
        <v>623.71199999999999</v>
      </c>
      <c r="J25" s="87"/>
      <c r="K25" s="87"/>
      <c r="L25" s="87">
        <f>SUM(Monthly_Data!L163:L174)</f>
        <v>20653.055</v>
      </c>
      <c r="M25" s="87"/>
      <c r="N25" s="158"/>
      <c r="O25" s="162"/>
      <c r="P25" s="87">
        <f>SUM(Monthly_Data!P163:P174)</f>
        <v>159120.89800000002</v>
      </c>
    </row>
    <row r="26" spans="1:16" x14ac:dyDescent="0.25">
      <c r="A26" s="83" t="s">
        <v>29</v>
      </c>
      <c r="B26" s="87">
        <f>SUM(Monthly_Data!B175:B186)</f>
        <v>52811.844000000005</v>
      </c>
      <c r="C26" s="87">
        <f>SUM(Monthly_Data!C175:C186)</f>
        <v>53953.919999999998</v>
      </c>
      <c r="D26" s="87">
        <f>SUM(Monthly_Data!D175:D186)</f>
        <v>8149.2800000000016</v>
      </c>
      <c r="E26" s="87">
        <f>SUM(Monthly_Data!E175:E186)</f>
        <v>5776.8099999999995</v>
      </c>
      <c r="F26" s="87">
        <f>SUM(Monthly_Data!F175:F186)</f>
        <v>1044.6850000000002</v>
      </c>
      <c r="G26" s="87">
        <f>SUM(Monthly_Data!G175:G186)</f>
        <v>14794.373000000003</v>
      </c>
      <c r="H26" s="87">
        <f>SUM(Monthly_Data!H175:H186)</f>
        <v>1133.819</v>
      </c>
      <c r="I26" s="87">
        <f>SUM(Monthly_Data!I175:I186)</f>
        <v>2663.2869999999998</v>
      </c>
      <c r="J26" s="87"/>
      <c r="K26" s="87"/>
      <c r="L26" s="87">
        <f>SUM(Monthly_Data!L175:L186)</f>
        <v>33520.286</v>
      </c>
      <c r="M26" s="87"/>
      <c r="N26" s="158"/>
      <c r="O26" s="162"/>
      <c r="P26" s="87">
        <f>SUM(Monthly_Data!P175:P186)</f>
        <v>173848.304</v>
      </c>
    </row>
    <row r="27" spans="1:16" x14ac:dyDescent="0.25">
      <c r="A27" s="83" t="s">
        <v>30</v>
      </c>
      <c r="B27" s="87">
        <f>SUM(Monthly_Data!B187:B198)</f>
        <v>54346.473800000007</v>
      </c>
      <c r="C27" s="87">
        <f>SUM(Monthly_Data!C187:C198)</f>
        <v>53224.9</v>
      </c>
      <c r="D27" s="87">
        <f>SUM(Monthly_Data!D187:D198)</f>
        <v>8234.6829999999991</v>
      </c>
      <c r="E27" s="87">
        <f>SUM(Monthly_Data!E187:E198)</f>
        <v>6765.4</v>
      </c>
      <c r="F27" s="87">
        <f>SUM(Monthly_Data!F187:F198)</f>
        <v>1310.415</v>
      </c>
      <c r="G27" s="87">
        <f>SUM(Monthly_Data!G187:G198)</f>
        <v>10368.554</v>
      </c>
      <c r="H27" s="87">
        <f>SUM(Monthly_Data!H187:H198)</f>
        <v>303.89999999999998</v>
      </c>
      <c r="I27" s="87">
        <f>SUM(Monthly_Data!I187:I198)</f>
        <v>2731.8</v>
      </c>
      <c r="J27" s="87"/>
      <c r="K27" s="87"/>
      <c r="L27" s="87">
        <f>SUM(Monthly_Data!L187:L198)</f>
        <v>28698.457999999999</v>
      </c>
      <c r="M27" s="87"/>
      <c r="N27" s="158"/>
      <c r="O27" s="162"/>
      <c r="P27" s="87">
        <f>SUM(Monthly_Data!P187:P198)</f>
        <v>165984.58380000002</v>
      </c>
    </row>
    <row r="28" spans="1:16" x14ac:dyDescent="0.25">
      <c r="A28" s="83" t="s">
        <v>31</v>
      </c>
      <c r="B28" s="87">
        <f>SUM(Monthly_Data!B199:B210)</f>
        <v>46580.198999999993</v>
      </c>
      <c r="C28" s="87">
        <f>SUM(Monthly_Data!C199:C210)</f>
        <v>70527.100000000006</v>
      </c>
      <c r="D28" s="87">
        <f>SUM(Monthly_Data!D199:D210)</f>
        <v>5426.0000000000009</v>
      </c>
      <c r="E28" s="87">
        <f>SUM(Monthly_Data!E199:E210)</f>
        <v>5681.41</v>
      </c>
      <c r="F28" s="87">
        <f>SUM(Monthly_Data!F199:F210)</f>
        <v>1006.8599999999997</v>
      </c>
      <c r="G28" s="87">
        <f>SUM(Monthly_Data!G199:G210)</f>
        <v>11151.27908</v>
      </c>
      <c r="H28" s="87">
        <f>SUM(Monthly_Data!H199:H210)</f>
        <v>41.135999999999996</v>
      </c>
      <c r="I28" s="87">
        <f>SUM(Monthly_Data!I199:I210)</f>
        <v>2896.4450000000002</v>
      </c>
      <c r="J28" s="87"/>
      <c r="K28" s="87"/>
      <c r="L28" s="87">
        <f>SUM(Monthly_Data!L199:L210)</f>
        <v>24085.799000000003</v>
      </c>
      <c r="M28" s="87"/>
      <c r="N28" s="158"/>
      <c r="O28" s="162"/>
      <c r="P28" s="87">
        <f>SUM(Monthly_Data!P199:P210)</f>
        <v>167396.22807999997</v>
      </c>
    </row>
    <row r="29" spans="1:16" x14ac:dyDescent="0.25">
      <c r="A29" s="83" t="s">
        <v>32</v>
      </c>
      <c r="B29" s="87">
        <v>36935.611000000004</v>
      </c>
      <c r="C29" s="87">
        <v>35241.020000000004</v>
      </c>
      <c r="D29" s="87">
        <v>4261</v>
      </c>
      <c r="E29" s="87">
        <v>4719.57</v>
      </c>
      <c r="F29" s="87">
        <v>724.47</v>
      </c>
      <c r="G29" s="87">
        <v>16190.48331</v>
      </c>
      <c r="H29" s="87">
        <v>0</v>
      </c>
      <c r="I29" s="87">
        <v>2166.1999999999998</v>
      </c>
      <c r="J29" s="87">
        <v>0</v>
      </c>
      <c r="K29" s="87"/>
      <c r="L29" s="87">
        <v>73840.672000000006</v>
      </c>
      <c r="M29" s="87"/>
      <c r="N29" s="158"/>
      <c r="O29" s="162"/>
      <c r="P29" s="87">
        <v>174079.02631000002</v>
      </c>
    </row>
    <row r="30" spans="1:16" x14ac:dyDescent="0.25">
      <c r="A30" s="83" t="s">
        <v>33</v>
      </c>
      <c r="B30" s="87">
        <v>46626.183999999994</v>
      </c>
      <c r="C30" s="87">
        <v>58244.320000000007</v>
      </c>
      <c r="D30" s="87">
        <v>4372.1000000000004</v>
      </c>
      <c r="E30" s="87">
        <v>4299.0600000000004</v>
      </c>
      <c r="F30" s="87">
        <v>1481.7850000000003</v>
      </c>
      <c r="G30" s="87">
        <v>13446.471280000002</v>
      </c>
      <c r="H30" s="87">
        <v>448.2</v>
      </c>
      <c r="I30" s="87">
        <v>2921.2999999999997</v>
      </c>
      <c r="J30" s="87">
        <v>1233.6841999999999</v>
      </c>
      <c r="K30" s="87"/>
      <c r="L30" s="87">
        <v>99087.450000000026</v>
      </c>
      <c r="M30" s="87"/>
      <c r="N30" s="158"/>
      <c r="O30" s="162"/>
      <c r="P30" s="87">
        <v>232160.55447999999</v>
      </c>
    </row>
    <row r="31" spans="1:16" x14ac:dyDescent="0.25">
      <c r="A31" s="83" t="s">
        <v>65</v>
      </c>
      <c r="B31" s="87">
        <v>44219.994000000006</v>
      </c>
      <c r="C31" s="87">
        <v>53126.34</v>
      </c>
      <c r="D31" s="87">
        <v>6134.1999999999989</v>
      </c>
      <c r="E31" s="87">
        <v>5290.2698999999984</v>
      </c>
      <c r="F31" s="87">
        <v>1118.1750000000002</v>
      </c>
      <c r="G31" s="87">
        <v>17014.55169</v>
      </c>
      <c r="H31" s="87">
        <v>763.32</v>
      </c>
      <c r="I31" s="87">
        <v>2304.5</v>
      </c>
      <c r="J31" s="87">
        <v>2072.9079999999999</v>
      </c>
      <c r="K31" s="87"/>
      <c r="L31" s="87">
        <v>123793.599</v>
      </c>
      <c r="M31" s="87"/>
      <c r="N31" s="158"/>
      <c r="O31" s="162"/>
      <c r="P31" s="87">
        <v>255837.85759000003</v>
      </c>
    </row>
    <row r="32" spans="1:16" x14ac:dyDescent="0.25">
      <c r="A32" s="83" t="s">
        <v>66</v>
      </c>
      <c r="B32" s="87">
        <f>Quarterly_Data!B87+Quarterly_Data!B88+Quarterly_Data!B89+Quarterly_Data!B90</f>
        <v>46789.827000000005</v>
      </c>
      <c r="C32" s="87">
        <f>Quarterly_Data!C87+Quarterly_Data!C88+Quarterly_Data!C89+Quarterly_Data!C90</f>
        <v>96761.87</v>
      </c>
      <c r="D32" s="87">
        <f>Quarterly_Data!D87+Quarterly_Data!D88+Quarterly_Data!D89+Quarterly_Data!D90</f>
        <v>4246.2999999999993</v>
      </c>
      <c r="E32" s="87">
        <f>Quarterly_Data!E87+Quarterly_Data!E88+Quarterly_Data!E89+Quarterly_Data!E90</f>
        <v>4998.12</v>
      </c>
      <c r="F32" s="87">
        <f>Quarterly_Data!F87+Quarterly_Data!F88+Quarterly_Data!F89+Quarterly_Data!F90</f>
        <v>2150.91</v>
      </c>
      <c r="G32" s="87">
        <f>Quarterly_Data!G87+Quarterly_Data!G88+Quarterly_Data!G89+Quarterly_Data!G90</f>
        <v>16348.65148</v>
      </c>
      <c r="H32" s="87">
        <f>Quarterly_Data!H87+Quarterly_Data!H88+Quarterly_Data!H89+Quarterly_Data!H90</f>
        <v>301.08</v>
      </c>
      <c r="I32" s="87">
        <f>Quarterly_Data!I87+Quarterly_Data!I88+Quarterly_Data!I89+Quarterly_Data!I90</f>
        <v>2981.7874999999995</v>
      </c>
      <c r="J32" s="87">
        <f>Quarterly_Data!J87+Quarterly_Data!J88+Quarterly_Data!J89+Quarterly_Data!J90</f>
        <v>1424.8959999999997</v>
      </c>
      <c r="K32" s="87"/>
      <c r="L32" s="87">
        <f>Quarterly_Data!L87+Quarterly_Data!L88+Quarterly_Data!L89+Quarterly_Data!L90</f>
        <v>86606.858000000007</v>
      </c>
      <c r="M32" s="87"/>
      <c r="N32" s="158"/>
      <c r="O32" s="162"/>
      <c r="P32" s="87">
        <v>262565.59998</v>
      </c>
    </row>
    <row r="33" spans="1:18" x14ac:dyDescent="0.25">
      <c r="A33" s="83">
        <v>2021</v>
      </c>
      <c r="B33" s="87">
        <f>Quarterly_Data!B91+Quarterly_Data!B92+Quarterly_Data!B93+Quarterly_Data!B94</f>
        <v>27361.794000000002</v>
      </c>
      <c r="C33" s="87">
        <f>Quarterly_Data!C91+Quarterly_Data!C92+Quarterly_Data!C93+Quarterly_Data!C94</f>
        <v>73929.59</v>
      </c>
      <c r="D33" s="87">
        <f>Quarterly_Data!D91+Quarterly_Data!D92+Quarterly_Data!D93+Quarterly_Data!D94</f>
        <v>4686.1000000000004</v>
      </c>
      <c r="E33" s="87">
        <f>Quarterly_Data!E91+Quarterly_Data!E92+Quarterly_Data!E93+Quarterly_Data!E94</f>
        <v>3441.9920000000002</v>
      </c>
      <c r="F33" s="87">
        <f>Quarterly_Data!F91+Quarterly_Data!F92+Quarterly_Data!F93+Quarterly_Data!F94</f>
        <v>927.64499999999998</v>
      </c>
      <c r="G33" s="87">
        <f>Quarterly_Data!G91+Quarterly_Data!G92+Quarterly_Data!G93+Quarterly_Data!G94</f>
        <v>15290.156679999998</v>
      </c>
      <c r="H33" s="87">
        <f>Quarterly_Data!H91+Quarterly_Data!H92+Quarterly_Data!H93+Quarterly_Data!H94</f>
        <v>306.48</v>
      </c>
      <c r="I33" s="87">
        <f>Quarterly_Data!I91+Quarterly_Data!I92+Quarterly_Data!I93+Quarterly_Data!I94</f>
        <v>2466.9</v>
      </c>
      <c r="J33" s="87">
        <f>Quarterly_Data!J91+Quarterly_Data!J92+Quarterly_Data!J93+Quarterly_Data!J94</f>
        <v>2293.2470000000003</v>
      </c>
      <c r="K33" s="87"/>
      <c r="L33" s="87">
        <f>Quarterly_Data!L91+Quarterly_Data!L92+Quarterly_Data!L93+Quarterly_Data!L94</f>
        <v>117994.95150000001</v>
      </c>
      <c r="M33" s="87"/>
      <c r="N33" s="158"/>
      <c r="O33" s="162"/>
      <c r="P33" s="87">
        <f>Quarterly_Data!P91+Quarterly_Data!P92+Quarterly_Data!P93+Quarterly_Data!P94</f>
        <v>248698.85618</v>
      </c>
    </row>
    <row r="34" spans="1:18" x14ac:dyDescent="0.25">
      <c r="A34" s="83">
        <v>2022</v>
      </c>
      <c r="B34" s="162">
        <v>30879</v>
      </c>
      <c r="C34" s="162">
        <v>60495</v>
      </c>
      <c r="D34" s="162">
        <v>5608</v>
      </c>
      <c r="E34" s="162">
        <v>4707</v>
      </c>
      <c r="F34" s="162">
        <v>1462</v>
      </c>
      <c r="G34" s="162">
        <v>14554</v>
      </c>
      <c r="H34" s="162">
        <v>266</v>
      </c>
      <c r="I34" s="162">
        <v>1733</v>
      </c>
      <c r="J34" s="162">
        <v>2354</v>
      </c>
      <c r="K34" s="162">
        <v>45140</v>
      </c>
      <c r="L34" s="162">
        <v>107958</v>
      </c>
      <c r="M34" s="162">
        <v>13011</v>
      </c>
      <c r="N34" s="162">
        <v>17</v>
      </c>
      <c r="O34" s="162"/>
      <c r="P34" s="162">
        <v>288186</v>
      </c>
    </row>
    <row r="35" spans="1:18" x14ac:dyDescent="0.25">
      <c r="A35" s="83">
        <v>2023</v>
      </c>
      <c r="B35" s="162">
        <v>36664.752999999997</v>
      </c>
      <c r="C35" s="162">
        <v>79638.850000000006</v>
      </c>
      <c r="D35" s="162">
        <v>3083.1</v>
      </c>
      <c r="E35" s="162">
        <v>5241.8899999999994</v>
      </c>
      <c r="F35" s="162">
        <v>1828.8899999999999</v>
      </c>
      <c r="G35" s="162">
        <v>13579.197800000002</v>
      </c>
      <c r="H35" s="162">
        <v>214.56</v>
      </c>
      <c r="I35" s="162">
        <v>1552</v>
      </c>
      <c r="J35" s="162">
        <v>1309.8</v>
      </c>
      <c r="K35" s="162">
        <v>99360.169800000003</v>
      </c>
      <c r="L35" s="162">
        <v>60875.980020000003</v>
      </c>
      <c r="M35" s="162">
        <v>12464.529129999999</v>
      </c>
      <c r="N35" s="162">
        <v>1489.2220000000002</v>
      </c>
      <c r="O35" s="162">
        <v>16430.705999999998</v>
      </c>
      <c r="P35" s="162">
        <v>333733.64775</v>
      </c>
    </row>
    <row r="36" spans="1:18" x14ac:dyDescent="0.25">
      <c r="A36" s="34"/>
      <c r="B36" s="59"/>
      <c r="C36" s="60"/>
      <c r="D36" s="61"/>
      <c r="E36" s="62"/>
      <c r="F36" s="61"/>
      <c r="G36" s="63"/>
      <c r="H36" s="64"/>
      <c r="I36" s="64"/>
      <c r="J36" s="64"/>
      <c r="K36" s="64"/>
      <c r="L36" s="64"/>
      <c r="M36" s="64"/>
      <c r="N36" s="151"/>
      <c r="O36" s="151"/>
      <c r="P36" s="65"/>
    </row>
    <row r="37" spans="1:18" x14ac:dyDescent="0.25">
      <c r="A37" s="29"/>
      <c r="B37" s="66"/>
      <c r="C37" s="66"/>
      <c r="D37" s="66"/>
      <c r="E37" s="66"/>
      <c r="F37" s="67"/>
      <c r="G37" s="66"/>
      <c r="H37" s="66"/>
      <c r="I37" s="66"/>
      <c r="J37" s="66"/>
      <c r="K37" s="66"/>
      <c r="L37" s="66"/>
      <c r="M37" s="66"/>
      <c r="N37" s="152"/>
      <c r="O37" s="152"/>
      <c r="P37" s="73"/>
      <c r="R37" s="11"/>
    </row>
    <row r="38" spans="1:18" x14ac:dyDescent="0.25">
      <c r="A38" s="77" t="s">
        <v>12</v>
      </c>
      <c r="B38" s="24"/>
      <c r="C38" s="24"/>
      <c r="D38" s="24"/>
      <c r="E38" s="24"/>
      <c r="F38" s="24"/>
      <c r="G38" s="68"/>
      <c r="H38" s="68"/>
      <c r="I38" s="68"/>
      <c r="J38" s="68"/>
      <c r="K38" s="68"/>
      <c r="L38" s="68"/>
      <c r="M38" s="68"/>
      <c r="N38" s="153"/>
      <c r="O38" s="153"/>
      <c r="P38" s="25"/>
      <c r="Q38" s="14"/>
      <c r="R38" s="11"/>
    </row>
    <row r="39" spans="1:18" x14ac:dyDescent="0.25">
      <c r="A39" s="26"/>
      <c r="B39" s="27"/>
      <c r="C39" s="27"/>
      <c r="D39" s="69"/>
      <c r="E39" s="70"/>
      <c r="F39" s="69"/>
      <c r="G39" s="69"/>
      <c r="H39" s="69"/>
      <c r="I39" s="69"/>
      <c r="J39" s="69"/>
      <c r="K39" s="69"/>
      <c r="L39" s="69"/>
      <c r="M39" s="69"/>
      <c r="N39" s="154"/>
      <c r="O39" s="154"/>
      <c r="P39" s="71"/>
      <c r="R39" s="14"/>
    </row>
    <row r="40" spans="1:18" x14ac:dyDescent="0.25">
      <c r="E40" s="3"/>
      <c r="P40" s="2"/>
    </row>
    <row r="41" spans="1:18" x14ac:dyDescent="0.25">
      <c r="B41" s="15"/>
      <c r="C41" s="11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49"/>
      <c r="O41" s="149"/>
      <c r="R41" s="14"/>
    </row>
    <row r="42" spans="1:18" x14ac:dyDescent="0.25">
      <c r="B42" s="15"/>
      <c r="C42" s="11"/>
      <c r="D42" s="11"/>
      <c r="E42" s="16"/>
      <c r="F42" s="11"/>
      <c r="G42" s="15"/>
      <c r="H42" s="15"/>
      <c r="I42" s="15"/>
      <c r="J42" s="15"/>
      <c r="K42" s="15"/>
      <c r="L42" s="15"/>
      <c r="M42" s="15"/>
      <c r="N42" s="149"/>
      <c r="O42" s="149"/>
    </row>
    <row r="43" spans="1:18" x14ac:dyDescent="0.25">
      <c r="D43" s="76"/>
      <c r="E43" s="3"/>
      <c r="F43" s="14"/>
      <c r="G43" s="9"/>
      <c r="H43" s="11"/>
      <c r="I43" s="11"/>
      <c r="J43" s="11"/>
      <c r="K43" s="11"/>
      <c r="L43" s="11"/>
      <c r="M43" s="11"/>
      <c r="N43" s="147"/>
      <c r="O43" s="147"/>
      <c r="P43" s="3"/>
    </row>
    <row r="44" spans="1:18" x14ac:dyDescent="0.25">
      <c r="C44" s="10"/>
      <c r="D44" s="76"/>
      <c r="E44" s="3"/>
      <c r="F44" s="15"/>
      <c r="G44" s="10"/>
      <c r="P44" s="13"/>
    </row>
    <row r="45" spans="1:18" x14ac:dyDescent="0.25">
      <c r="C45" s="7"/>
      <c r="D45" s="7"/>
      <c r="E45" s="20"/>
      <c r="F45" s="7"/>
      <c r="G45" s="17"/>
      <c r="H45" s="12"/>
      <c r="I45" s="12"/>
      <c r="J45" s="12"/>
      <c r="K45" s="12"/>
      <c r="L45" s="12"/>
      <c r="M45" s="12"/>
      <c r="N45" s="148"/>
      <c r="O45" s="148"/>
      <c r="P45" s="20"/>
    </row>
    <row r="46" spans="1:18" x14ac:dyDescent="0.25">
      <c r="C46" s="7"/>
      <c r="D46" s="7"/>
      <c r="E46" s="21"/>
      <c r="F46" s="7"/>
      <c r="G46" s="7"/>
      <c r="H46" s="7"/>
      <c r="I46" s="7"/>
      <c r="J46" s="7"/>
      <c r="K46" s="7"/>
      <c r="L46" s="75"/>
      <c r="M46" s="75"/>
      <c r="N46" s="155"/>
      <c r="O46" s="155"/>
      <c r="P46" s="74"/>
    </row>
    <row r="47" spans="1:18" x14ac:dyDescent="0.25">
      <c r="C47" s="23"/>
      <c r="D47" s="7"/>
      <c r="E47" s="20"/>
      <c r="F47" s="7"/>
      <c r="G47" s="7"/>
      <c r="H47" s="7"/>
      <c r="I47" s="7"/>
      <c r="J47" s="7"/>
      <c r="K47" s="7"/>
      <c r="L47" s="7"/>
      <c r="M47" s="7"/>
      <c r="N47" s="146"/>
      <c r="O47" s="146"/>
      <c r="P47" s="22"/>
    </row>
    <row r="48" spans="1:18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46"/>
      <c r="O48" s="146"/>
      <c r="P48" s="7"/>
    </row>
    <row r="49" spans="3:16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46"/>
      <c r="O49" s="146"/>
      <c r="P49" s="7"/>
    </row>
    <row r="50" spans="3:16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46"/>
      <c r="O50" s="146"/>
      <c r="P50" s="7"/>
    </row>
    <row r="52" spans="3:16" x14ac:dyDescent="0.25">
      <c r="C52" s="19"/>
      <c r="D52" s="11"/>
    </row>
    <row r="53" spans="3:16" x14ac:dyDescent="0.25">
      <c r="C53" s="11"/>
    </row>
  </sheetData>
  <mergeCells count="1">
    <mergeCell ref="A4:P4"/>
  </mergeCells>
  <hyperlinks>
    <hyperlink ref="A1" location="Table_of_Contents!A1" display="Back to the table of content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Table_of_Contents</vt:lpstr>
      <vt:lpstr>Monthly_Data</vt:lpstr>
      <vt:lpstr>Quarterly_Data</vt:lpstr>
      <vt:lpstr>Annually_Data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BIZIMANA Gildas</cp:lastModifiedBy>
  <cp:lastPrinted>2017-01-17T07:16:08Z</cp:lastPrinted>
  <dcterms:created xsi:type="dcterms:W3CDTF">2000-08-22T08:23:40Z</dcterms:created>
  <dcterms:modified xsi:type="dcterms:W3CDTF">2024-05-06T11:54:59Z</dcterms:modified>
</cp:coreProperties>
</file>